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0" yWindow="0" windowWidth="20730" windowHeight="9735"/>
  </bookViews>
  <sheets>
    <sheet name="Herramienta" sheetId="1" r:id="rId1"/>
    <sheet name="Sheet2" sheetId="2" state="hidden" r:id="rId2"/>
    <sheet name="Sheet3" sheetId="3" state="hidden" r:id="rId3"/>
    <sheet name="Calendario" sheetId="4" state="hidden" r:id="rId4"/>
  </sheets>
  <externalReferences>
    <externalReference r:id="rId5"/>
  </externalReferences>
  <definedNames>
    <definedName name="AprSun1">DATE(TheYear,4,1)-WEEKDAY(DATE(TheYear,4,1))+1</definedName>
    <definedName name="AugSun1">DATE(TheYear,8,1)-WEEKDAY(DATE(TheYear,8,1))+1</definedName>
    <definedName name="calendar">DATE(TheYear,6,1)-WEEKDAY(DATE(TheYear,6,1))+1</definedName>
    <definedName name="DecSun1">DATE(TheYear,12,1)-WEEKDAY(DATE(TheYear,12,1))+1</definedName>
    <definedName name="FebSun1">DATE(TheYear,2,1)-WEEKDAY(DATE(TheYear,2,1))+1</definedName>
    <definedName name="JanSun1">DATE(TheYear,1,1)-WEEKDAY(DATE(TheYear,1,1))+1</definedName>
    <definedName name="JulSun1">DATE(TheYear,7,1)-WEEKDAY(DATE(TheYear,7,1))+1</definedName>
    <definedName name="JunSun1">DATE(TheYear,6,1)-WEEKDAY(DATE(TheYear,6,1))+1</definedName>
    <definedName name="MarSun1">DATE(TheYear,3,1)-WEEKDAY(DATE(TheYear,3,1))+1</definedName>
    <definedName name="MaySun1">DATE(TheYear,5,1)-WEEKDAY(DATE(TheYear,5,1))+1</definedName>
    <definedName name="NovSun1">DATE(TheYear,11,1)-WEEKDAY(DATE(TheYear,11,1))+1</definedName>
    <definedName name="OctSun1">DATE(TheYear,10,1)-WEEKDAY(DATE(TheYear,10,1))+1</definedName>
    <definedName name="SepSun1">DATE(TheYear,11,1)-WEEKDAY(DATE(TheYear,11,1))+1</definedName>
    <definedName name="TheYear">Calendario!$B$2</definedName>
    <definedName name="v">DATE(TheYear,10,1)-WEEKDAY(DATE(TheYear,10,1))+1</definedName>
    <definedName name="YearLookup">[1]!YearLookupList[#Data]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1" i="1"/>
  <c r="AL31"/>
  <c r="AK31"/>
  <c r="AJ31"/>
  <c r="AI31"/>
  <c r="AH31"/>
  <c r="AG31"/>
  <c r="AE31"/>
  <c r="AD31"/>
  <c r="AC31"/>
  <c r="AB31"/>
  <c r="AA31"/>
  <c r="Z31"/>
  <c r="Y31"/>
  <c r="W31"/>
  <c r="V31"/>
  <c r="U31"/>
  <c r="T31"/>
  <c r="S31"/>
  <c r="R31"/>
  <c r="Q31"/>
  <c r="O31"/>
  <c r="N31"/>
  <c r="M31"/>
  <c r="L31"/>
  <c r="K31"/>
  <c r="J31"/>
  <c r="I31"/>
  <c r="AM30"/>
  <c r="AL30"/>
  <c r="AK30"/>
  <c r="AJ30"/>
  <c r="AI30"/>
  <c r="AH30"/>
  <c r="AG30"/>
  <c r="W30"/>
  <c r="V30"/>
  <c r="U30"/>
  <c r="T30"/>
  <c r="S30"/>
  <c r="R30"/>
  <c r="Q30"/>
  <c r="O30"/>
  <c r="N30"/>
  <c r="M30"/>
  <c r="L30"/>
  <c r="K30"/>
  <c r="J30"/>
  <c r="I30"/>
  <c r="AM29"/>
  <c r="AL29"/>
  <c r="AK29"/>
  <c r="AJ29"/>
  <c r="AI29"/>
  <c r="AH29"/>
  <c r="AG29"/>
  <c r="W29"/>
  <c r="V29"/>
  <c r="U29"/>
  <c r="T29"/>
  <c r="S29"/>
  <c r="R29"/>
  <c r="Q29"/>
  <c r="O29"/>
  <c r="N29"/>
  <c r="M29"/>
  <c r="L29"/>
  <c r="K29"/>
  <c r="J29"/>
  <c r="I29"/>
  <c r="AM28"/>
  <c r="AL28"/>
  <c r="AK28"/>
  <c r="AJ28"/>
  <c r="AI28"/>
  <c r="AH28"/>
  <c r="AG28"/>
  <c r="W28"/>
  <c r="V28"/>
  <c r="U28"/>
  <c r="T28"/>
  <c r="S28"/>
  <c r="R28"/>
  <c r="Q28"/>
  <c r="O28"/>
  <c r="N28"/>
  <c r="M28"/>
  <c r="L28"/>
  <c r="K28"/>
  <c r="J28"/>
  <c r="I28"/>
  <c r="AM27"/>
  <c r="AL27"/>
  <c r="AK27"/>
  <c r="AJ27"/>
  <c r="AI27"/>
  <c r="AH27"/>
  <c r="AG27"/>
  <c r="W27"/>
  <c r="V27"/>
  <c r="U27"/>
  <c r="T27"/>
  <c r="S27"/>
  <c r="R27"/>
  <c r="Q27"/>
  <c r="O27"/>
  <c r="N27"/>
  <c r="M27"/>
  <c r="L27"/>
  <c r="K27"/>
  <c r="J27"/>
  <c r="I27"/>
  <c r="AM26"/>
  <c r="AL26"/>
  <c r="AK26"/>
  <c r="AJ26"/>
  <c r="AI26"/>
  <c r="AH26"/>
  <c r="AG26"/>
  <c r="AC26"/>
  <c r="AB26"/>
  <c r="AA26"/>
  <c r="Z26"/>
  <c r="Y26"/>
  <c r="W26"/>
  <c r="V26"/>
  <c r="U26"/>
  <c r="T26"/>
  <c r="S26"/>
  <c r="R26"/>
  <c r="Q26"/>
  <c r="O26"/>
  <c r="N26"/>
  <c r="M26"/>
  <c r="L26"/>
  <c r="K26"/>
  <c r="J26"/>
  <c r="I26"/>
  <c r="E39" l="1"/>
  <c r="E18"/>
  <c r="G16" l="1"/>
  <c r="E7"/>
  <c r="E6"/>
  <c r="E14"/>
  <c r="E15"/>
  <c r="E16"/>
  <c r="E17"/>
  <c r="AM22"/>
  <c r="AL22"/>
  <c r="AK22"/>
  <c r="AJ22"/>
  <c r="AI22"/>
  <c r="AH22"/>
  <c r="AG22"/>
  <c r="AE22"/>
  <c r="AD22"/>
  <c r="AC22"/>
  <c r="AB22"/>
  <c r="AA22"/>
  <c r="Z22"/>
  <c r="Y22"/>
  <c r="W22"/>
  <c r="V22"/>
  <c r="U22"/>
  <c r="T22"/>
  <c r="S22"/>
  <c r="R22"/>
  <c r="Q22"/>
  <c r="O22"/>
  <c r="N22"/>
  <c r="M22"/>
  <c r="L22"/>
  <c r="K22"/>
  <c r="J22"/>
  <c r="I22"/>
  <c r="AM21"/>
  <c r="AL21"/>
  <c r="AK21"/>
  <c r="AJ21"/>
  <c r="AI21"/>
  <c r="AH21"/>
  <c r="AG21"/>
  <c r="AE21"/>
  <c r="AD21"/>
  <c r="AC21"/>
  <c r="AB21"/>
  <c r="AA21"/>
  <c r="Z21"/>
  <c r="Y21"/>
  <c r="W21"/>
  <c r="V21"/>
  <c r="U21"/>
  <c r="T21"/>
  <c r="S21"/>
  <c r="R21"/>
  <c r="Q21"/>
  <c r="O21"/>
  <c r="N21"/>
  <c r="M21"/>
  <c r="L21"/>
  <c r="K21"/>
  <c r="J21"/>
  <c r="I21"/>
  <c r="AM20"/>
  <c r="AL20"/>
  <c r="AK20"/>
  <c r="AJ20"/>
  <c r="AI20"/>
  <c r="AH20"/>
  <c r="AG20"/>
  <c r="AE20"/>
  <c r="AD20"/>
  <c r="AC20"/>
  <c r="AB20"/>
  <c r="AA20"/>
  <c r="Z20"/>
  <c r="Y20"/>
  <c r="W20"/>
  <c r="V20"/>
  <c r="U20"/>
  <c r="T20"/>
  <c r="S20"/>
  <c r="R20"/>
  <c r="Q20"/>
  <c r="O20"/>
  <c r="N20"/>
  <c r="M20"/>
  <c r="L20"/>
  <c r="K20"/>
  <c r="J20"/>
  <c r="I20"/>
  <c r="AM19"/>
  <c r="AL19"/>
  <c r="AK19"/>
  <c r="AJ19"/>
  <c r="AI19"/>
  <c r="AH19"/>
  <c r="AG19"/>
  <c r="AE19"/>
  <c r="AD19"/>
  <c r="AC19"/>
  <c r="AB19"/>
  <c r="AA19"/>
  <c r="Z19"/>
  <c r="Y19"/>
  <c r="W19"/>
  <c r="V19"/>
  <c r="U19"/>
  <c r="T19"/>
  <c r="S19"/>
  <c r="R19"/>
  <c r="Q19"/>
  <c r="O19"/>
  <c r="N19"/>
  <c r="M19"/>
  <c r="L19"/>
  <c r="K19"/>
  <c r="J19"/>
  <c r="I19"/>
  <c r="AM18"/>
  <c r="AL18"/>
  <c r="AK18"/>
  <c r="AJ18"/>
  <c r="AI18"/>
  <c r="AH18"/>
  <c r="AG18"/>
  <c r="AE18"/>
  <c r="AD18"/>
  <c r="AC18"/>
  <c r="AB18"/>
  <c r="AA18"/>
  <c r="Z18"/>
  <c r="Y18"/>
  <c r="W18"/>
  <c r="V18"/>
  <c r="U18"/>
  <c r="T18"/>
  <c r="S18"/>
  <c r="R18"/>
  <c r="Q18"/>
  <c r="O18"/>
  <c r="N18"/>
  <c r="M18"/>
  <c r="L18"/>
  <c r="K18"/>
  <c r="J18"/>
  <c r="I18"/>
  <c r="AM17"/>
  <c r="AL17"/>
  <c r="AK17"/>
  <c r="AJ17"/>
  <c r="AI17"/>
  <c r="AH17"/>
  <c r="AG17"/>
  <c r="AE17"/>
  <c r="AD17"/>
  <c r="AC17"/>
  <c r="AB17"/>
  <c r="AA17"/>
  <c r="Z17"/>
  <c r="Y17"/>
  <c r="W17"/>
  <c r="V17"/>
  <c r="U17"/>
  <c r="T17"/>
  <c r="S17"/>
  <c r="R17"/>
  <c r="Q17"/>
  <c r="O17"/>
  <c r="N17"/>
  <c r="M17"/>
  <c r="L17"/>
  <c r="K17"/>
  <c r="J17"/>
  <c r="I17"/>
  <c r="AM13"/>
  <c r="AL13"/>
  <c r="AK13"/>
  <c r="AJ13"/>
  <c r="AI13"/>
  <c r="AH13"/>
  <c r="AG13"/>
  <c r="AE13"/>
  <c r="AD13"/>
  <c r="AC13"/>
  <c r="AB13"/>
  <c r="AA13"/>
  <c r="Z13"/>
  <c r="Y13"/>
  <c r="W13"/>
  <c r="V13"/>
  <c r="U13"/>
  <c r="T13"/>
  <c r="S13"/>
  <c r="R13"/>
  <c r="Q13"/>
  <c r="O13"/>
  <c r="N13"/>
  <c r="M13"/>
  <c r="L13"/>
  <c r="K13"/>
  <c r="J13"/>
  <c r="I13"/>
  <c r="AM12"/>
  <c r="AL12"/>
  <c r="AK12"/>
  <c r="AJ12"/>
  <c r="AI12"/>
  <c r="AH12"/>
  <c r="AG12"/>
  <c r="AE12"/>
  <c r="AD12"/>
  <c r="AC12"/>
  <c r="AB12"/>
  <c r="AA12"/>
  <c r="Z12"/>
  <c r="Y12"/>
  <c r="W12"/>
  <c r="V12"/>
  <c r="U12"/>
  <c r="T12"/>
  <c r="S12"/>
  <c r="R12"/>
  <c r="Q12"/>
  <c r="O12"/>
  <c r="N12"/>
  <c r="M12"/>
  <c r="L12"/>
  <c r="K12"/>
  <c r="J12"/>
  <c r="I12"/>
  <c r="AM11"/>
  <c r="AL11"/>
  <c r="AK11"/>
  <c r="AJ11"/>
  <c r="AI11"/>
  <c r="AH11"/>
  <c r="AG11"/>
  <c r="AE11"/>
  <c r="AD11"/>
  <c r="AC11"/>
  <c r="AB11"/>
  <c r="AA11"/>
  <c r="Z11"/>
  <c r="Y11"/>
  <c r="W11"/>
  <c r="V11"/>
  <c r="U11"/>
  <c r="T11"/>
  <c r="S11"/>
  <c r="R11"/>
  <c r="Q11"/>
  <c r="O11"/>
  <c r="N11"/>
  <c r="M11"/>
  <c r="L11"/>
  <c r="K11"/>
  <c r="J11"/>
  <c r="I11"/>
  <c r="AM10"/>
  <c r="AL10"/>
  <c r="AK10"/>
  <c r="AJ10"/>
  <c r="AI10"/>
  <c r="AH10"/>
  <c r="AG10"/>
  <c r="AE10"/>
  <c r="AD10"/>
  <c r="AC10"/>
  <c r="AB10"/>
  <c r="AA10"/>
  <c r="Z10"/>
  <c r="Y10"/>
  <c r="W10"/>
  <c r="V10"/>
  <c r="U10"/>
  <c r="T10"/>
  <c r="S10"/>
  <c r="R10"/>
  <c r="Q10"/>
  <c r="O10"/>
  <c r="N10"/>
  <c r="M10"/>
  <c r="L10"/>
  <c r="K10"/>
  <c r="J10"/>
  <c r="I10"/>
  <c r="AM9"/>
  <c r="AL9"/>
  <c r="AK9"/>
  <c r="AJ9"/>
  <c r="AI9"/>
  <c r="AH9"/>
  <c r="AG9"/>
  <c r="AE9"/>
  <c r="AD9"/>
  <c r="AC9"/>
  <c r="AB9"/>
  <c r="AA9"/>
  <c r="Z9"/>
  <c r="Y9"/>
  <c r="W9"/>
  <c r="V9"/>
  <c r="U9"/>
  <c r="T9"/>
  <c r="S9"/>
  <c r="R9"/>
  <c r="Q9"/>
  <c r="O9"/>
  <c r="N9"/>
  <c r="M9"/>
  <c r="L9"/>
  <c r="K9"/>
  <c r="J9"/>
  <c r="I9"/>
  <c r="AM8"/>
  <c r="AL8"/>
  <c r="AK8"/>
  <c r="AJ8"/>
  <c r="AI8"/>
  <c r="AH8"/>
  <c r="AG8"/>
  <c r="AE8"/>
  <c r="AD8"/>
  <c r="AC8"/>
  <c r="AB8"/>
  <c r="AA8"/>
  <c r="Z8"/>
  <c r="Y8"/>
  <c r="W8"/>
  <c r="V8"/>
  <c r="U8"/>
  <c r="T8"/>
  <c r="S8"/>
  <c r="R8"/>
  <c r="Q8"/>
  <c r="O8"/>
  <c r="N8"/>
  <c r="M8"/>
  <c r="L8"/>
  <c r="K8"/>
  <c r="J8"/>
  <c r="I8"/>
  <c r="E34"/>
  <c r="E28"/>
  <c r="E19"/>
  <c r="E23"/>
  <c r="E24"/>
  <c r="E5"/>
  <c r="E4"/>
  <c r="E3"/>
  <c r="E8"/>
  <c r="E9"/>
  <c r="E10"/>
  <c r="E11"/>
  <c r="E12"/>
  <c r="E13"/>
  <c r="E20"/>
  <c r="E21"/>
  <c r="E22"/>
  <c r="E25"/>
  <c r="E26"/>
  <c r="E27"/>
  <c r="E29"/>
  <c r="E30"/>
  <c r="E31"/>
  <c r="E32"/>
  <c r="E33"/>
  <c r="E35"/>
  <c r="E36"/>
  <c r="E37"/>
  <c r="E38"/>
  <c r="E40"/>
  <c r="E41"/>
  <c r="E42"/>
  <c r="C7" i="4"/>
  <c r="D7"/>
  <c r="E7"/>
  <c r="F7"/>
  <c r="G7"/>
  <c r="H7"/>
  <c r="I7"/>
  <c r="K7"/>
  <c r="L7"/>
  <c r="M7"/>
  <c r="N7"/>
  <c r="O7"/>
  <c r="P7"/>
  <c r="Q7"/>
  <c r="S7"/>
  <c r="T7"/>
  <c r="U7"/>
  <c r="V7"/>
  <c r="W7"/>
  <c r="X7"/>
  <c r="Y7"/>
  <c r="AA7"/>
  <c r="AB7"/>
  <c r="AC7"/>
  <c r="AD7"/>
  <c r="AE7"/>
  <c r="AF7"/>
  <c r="AG7"/>
  <c r="C8"/>
  <c r="D8"/>
  <c r="E8"/>
  <c r="F8"/>
  <c r="G8"/>
  <c r="H8"/>
  <c r="I8"/>
  <c r="K8"/>
  <c r="L8"/>
  <c r="M8"/>
  <c r="N8"/>
  <c r="O8"/>
  <c r="P8"/>
  <c r="Q8"/>
  <c r="S8"/>
  <c r="T8"/>
  <c r="U8"/>
  <c r="V8"/>
  <c r="W8"/>
  <c r="X8"/>
  <c r="Y8"/>
  <c r="AA8"/>
  <c r="AB8"/>
  <c r="AC8"/>
  <c r="AD8"/>
  <c r="AE8"/>
  <c r="AF8"/>
  <c r="AG8"/>
  <c r="C9"/>
  <c r="D9"/>
  <c r="E9"/>
  <c r="F9"/>
  <c r="G9"/>
  <c r="H9"/>
  <c r="I9"/>
  <c r="K9"/>
  <c r="L9"/>
  <c r="M9"/>
  <c r="N9"/>
  <c r="O9"/>
  <c r="P9"/>
  <c r="Q9"/>
  <c r="S9"/>
  <c r="T9"/>
  <c r="U9"/>
  <c r="V9"/>
  <c r="W9"/>
  <c r="X9"/>
  <c r="Y9"/>
  <c r="AA9"/>
  <c r="AB9"/>
  <c r="AC9"/>
  <c r="AD9"/>
  <c r="AE9"/>
  <c r="AF9"/>
  <c r="AG9"/>
  <c r="C10"/>
  <c r="D10"/>
  <c r="E10"/>
  <c r="F10"/>
  <c r="G10"/>
  <c r="H10"/>
  <c r="I10"/>
  <c r="K10"/>
  <c r="L10"/>
  <c r="M10"/>
  <c r="N10"/>
  <c r="O10"/>
  <c r="P10"/>
  <c r="Q10"/>
  <c r="S10"/>
  <c r="T10"/>
  <c r="U10"/>
  <c r="V10"/>
  <c r="W10"/>
  <c r="X10"/>
  <c r="Y10"/>
  <c r="AA10"/>
  <c r="AB10"/>
  <c r="AC10"/>
  <c r="AD10"/>
  <c r="AE10"/>
  <c r="AF10"/>
  <c r="AG10"/>
  <c r="C11"/>
  <c r="D11"/>
  <c r="E11"/>
  <c r="F11"/>
  <c r="G11"/>
  <c r="H11"/>
  <c r="I11"/>
  <c r="K11"/>
  <c r="L11"/>
  <c r="M11"/>
  <c r="N11"/>
  <c r="O11"/>
  <c r="P11"/>
  <c r="Q11"/>
  <c r="S11"/>
  <c r="T11"/>
  <c r="U11"/>
  <c r="V11"/>
  <c r="W11"/>
  <c r="X11"/>
  <c r="Y11"/>
  <c r="AA11"/>
  <c r="AB11"/>
  <c r="AC11"/>
  <c r="AD11"/>
  <c r="AE11"/>
  <c r="AF11"/>
  <c r="AG11"/>
  <c r="C12"/>
  <c r="D12"/>
  <c r="E12"/>
  <c r="F12"/>
  <c r="G12"/>
  <c r="H12"/>
  <c r="I12"/>
  <c r="K12"/>
  <c r="L12"/>
  <c r="M12"/>
  <c r="N12"/>
  <c r="O12"/>
  <c r="P12"/>
  <c r="Q12"/>
  <c r="S12"/>
  <c r="T12"/>
  <c r="U12"/>
  <c r="V12"/>
  <c r="W12"/>
  <c r="X12"/>
  <c r="Y12"/>
  <c r="AA12"/>
  <c r="AB12"/>
  <c r="AC12"/>
  <c r="AD12"/>
  <c r="AE12"/>
  <c r="AF12"/>
  <c r="AG12"/>
  <c r="C16"/>
  <c r="D16"/>
  <c r="E16"/>
  <c r="F16"/>
  <c r="G16"/>
  <c r="H16"/>
  <c r="I16"/>
  <c r="K16"/>
  <c r="L16"/>
  <c r="M16"/>
  <c r="N16"/>
  <c r="O16"/>
  <c r="P16"/>
  <c r="Q16"/>
  <c r="S16"/>
  <c r="T16"/>
  <c r="U16"/>
  <c r="V16"/>
  <c r="W16"/>
  <c r="X16"/>
  <c r="Y16"/>
  <c r="AA16"/>
  <c r="AB16"/>
  <c r="AC16"/>
  <c r="AD16"/>
  <c r="AE16"/>
  <c r="AF16"/>
  <c r="AG16"/>
  <c r="C17"/>
  <c r="D17"/>
  <c r="E17"/>
  <c r="F17"/>
  <c r="G17"/>
  <c r="H17"/>
  <c r="I17"/>
  <c r="K17"/>
  <c r="L17"/>
  <c r="M17"/>
  <c r="N17"/>
  <c r="O17"/>
  <c r="P17"/>
  <c r="Q17"/>
  <c r="S17"/>
  <c r="T17"/>
  <c r="U17"/>
  <c r="V17"/>
  <c r="W17"/>
  <c r="X17"/>
  <c r="Y17"/>
  <c r="AA17"/>
  <c r="AB17"/>
  <c r="AC17"/>
  <c r="AD17"/>
  <c r="AE17"/>
  <c r="AF17"/>
  <c r="AG17"/>
  <c r="C18"/>
  <c r="D18"/>
  <c r="E18"/>
  <c r="F18"/>
  <c r="G18"/>
  <c r="H18"/>
  <c r="I18"/>
  <c r="K18"/>
  <c r="L18"/>
  <c r="M18"/>
  <c r="N18"/>
  <c r="O18"/>
  <c r="P18"/>
  <c r="Q18"/>
  <c r="S18"/>
  <c r="T18"/>
  <c r="U18"/>
  <c r="V18"/>
  <c r="W18"/>
  <c r="X18"/>
  <c r="Y18"/>
  <c r="AA18"/>
  <c r="AB18"/>
  <c r="AC18"/>
  <c r="AD18"/>
  <c r="AE18"/>
  <c r="AF18"/>
  <c r="AG18"/>
  <c r="C19"/>
  <c r="D19"/>
  <c r="E19"/>
  <c r="F19"/>
  <c r="G19"/>
  <c r="H19"/>
  <c r="I19"/>
  <c r="K19"/>
  <c r="L19"/>
  <c r="M19"/>
  <c r="N19"/>
  <c r="O19"/>
  <c r="P19"/>
  <c r="Q19"/>
  <c r="S19"/>
  <c r="T19"/>
  <c r="U19"/>
  <c r="V19"/>
  <c r="W19"/>
  <c r="X19"/>
  <c r="Y19"/>
  <c r="AA19"/>
  <c r="AB19"/>
  <c r="AC19"/>
  <c r="AD19"/>
  <c r="AE19"/>
  <c r="AF19"/>
  <c r="AG19"/>
  <c r="C20"/>
  <c r="D20"/>
  <c r="E20"/>
  <c r="F20"/>
  <c r="G20"/>
  <c r="H20"/>
  <c r="I20"/>
  <c r="K20"/>
  <c r="L20"/>
  <c r="M20"/>
  <c r="N20"/>
  <c r="O20"/>
  <c r="P20"/>
  <c r="Q20"/>
  <c r="S20"/>
  <c r="T20"/>
  <c r="U20"/>
  <c r="V20"/>
  <c r="W20"/>
  <c r="X20"/>
  <c r="Y20"/>
  <c r="AA20"/>
  <c r="AB20"/>
  <c r="AC20"/>
  <c r="AD20"/>
  <c r="AE20"/>
  <c r="AF20"/>
  <c r="AG20"/>
  <c r="C21"/>
  <c r="D21"/>
  <c r="E21"/>
  <c r="F21"/>
  <c r="G21"/>
  <c r="H21"/>
  <c r="I21"/>
  <c r="K21"/>
  <c r="L21"/>
  <c r="M21"/>
  <c r="N21"/>
  <c r="O21"/>
  <c r="P21"/>
  <c r="Q21"/>
  <c r="S21"/>
  <c r="T21"/>
  <c r="U21"/>
  <c r="V21"/>
  <c r="W21"/>
  <c r="X21"/>
  <c r="Y21"/>
  <c r="AA21"/>
  <c r="AB21"/>
  <c r="AC21"/>
  <c r="AD21"/>
  <c r="AE21"/>
  <c r="AF21"/>
  <c r="AG21"/>
  <c r="C25"/>
  <c r="D25"/>
  <c r="E25"/>
  <c r="F25"/>
  <c r="G25"/>
  <c r="H25"/>
  <c r="I25"/>
  <c r="K25"/>
  <c r="L25"/>
  <c r="M25"/>
  <c r="N25"/>
  <c r="O25"/>
  <c r="P25"/>
  <c r="Q25"/>
  <c r="S25"/>
  <c r="T25"/>
  <c r="U25"/>
  <c r="V25"/>
  <c r="W25"/>
  <c r="X25"/>
  <c r="Y25"/>
  <c r="AA25"/>
  <c r="AB25"/>
  <c r="AC25"/>
  <c r="AD25"/>
  <c r="AE25"/>
  <c r="AF25"/>
  <c r="AG25"/>
  <c r="C26"/>
  <c r="D26"/>
  <c r="E26"/>
  <c r="F26"/>
  <c r="G26"/>
  <c r="H26"/>
  <c r="I26"/>
  <c r="K26"/>
  <c r="L26"/>
  <c r="M26"/>
  <c r="N26"/>
  <c r="O26"/>
  <c r="P26"/>
  <c r="Q26"/>
  <c r="S26"/>
  <c r="T26"/>
  <c r="U26"/>
  <c r="V26"/>
  <c r="W26"/>
  <c r="X26"/>
  <c r="Y26"/>
  <c r="AA26"/>
  <c r="AB26"/>
  <c r="AC26"/>
  <c r="AD26"/>
  <c r="AE26"/>
  <c r="AF26"/>
  <c r="AG26"/>
  <c r="C27"/>
  <c r="D27"/>
  <c r="E27"/>
  <c r="F27"/>
  <c r="G27"/>
  <c r="H27"/>
  <c r="I27"/>
  <c r="K27"/>
  <c r="L27"/>
  <c r="M27"/>
  <c r="N27"/>
  <c r="O27"/>
  <c r="P27"/>
  <c r="Q27"/>
  <c r="S27"/>
  <c r="T27"/>
  <c r="U27"/>
  <c r="V27"/>
  <c r="W27"/>
  <c r="X27"/>
  <c r="Y27"/>
  <c r="AA27"/>
  <c r="AB27"/>
  <c r="AC27"/>
  <c r="AD27"/>
  <c r="AE27"/>
  <c r="AF27"/>
  <c r="AG27"/>
  <c r="C28"/>
  <c r="D28"/>
  <c r="E28"/>
  <c r="F28"/>
  <c r="G28"/>
  <c r="H28"/>
  <c r="I28"/>
  <c r="K28"/>
  <c r="L28"/>
  <c r="M28"/>
  <c r="N28"/>
  <c r="O28"/>
  <c r="P28"/>
  <c r="Q28"/>
  <c r="S28"/>
  <c r="T28"/>
  <c r="U28"/>
  <c r="V28"/>
  <c r="W28"/>
  <c r="X28"/>
  <c r="Y28"/>
  <c r="AA28"/>
  <c r="AB28"/>
  <c r="AC28"/>
  <c r="AD28"/>
  <c r="AE28"/>
  <c r="AF28"/>
  <c r="AG28"/>
  <c r="C29"/>
  <c r="D29"/>
  <c r="E29"/>
  <c r="F29"/>
  <c r="G29"/>
  <c r="H29"/>
  <c r="I29"/>
  <c r="K29"/>
  <c r="L29"/>
  <c r="M29"/>
  <c r="N29"/>
  <c r="O29"/>
  <c r="P29"/>
  <c r="Q29"/>
  <c r="S29"/>
  <c r="T29"/>
  <c r="U29"/>
  <c r="V29"/>
  <c r="W29"/>
  <c r="X29"/>
  <c r="Y29"/>
  <c r="AA29"/>
  <c r="AB29"/>
  <c r="AC29"/>
  <c r="AD29"/>
  <c r="AE29"/>
  <c r="AF29"/>
  <c r="AG29"/>
  <c r="C30"/>
  <c r="D30"/>
  <c r="E30"/>
  <c r="F30"/>
  <c r="G30"/>
  <c r="H30"/>
  <c r="I30"/>
  <c r="K30"/>
  <c r="L30"/>
  <c r="M30"/>
  <c r="N30"/>
  <c r="O30"/>
  <c r="P30"/>
  <c r="Q30"/>
  <c r="S30"/>
  <c r="T30"/>
  <c r="U30"/>
  <c r="V30"/>
  <c r="W30"/>
  <c r="X30"/>
  <c r="Y30"/>
  <c r="AA30"/>
  <c r="AB30"/>
  <c r="AC30"/>
  <c r="AD30"/>
  <c r="AE30"/>
  <c r="AF30"/>
  <c r="AG30"/>
  <c r="E43" i="1" l="1"/>
</calcChain>
</file>

<file path=xl/sharedStrings.xml><?xml version="1.0" encoding="utf-8"?>
<sst xmlns="http://schemas.openxmlformats.org/spreadsheetml/2006/main" count="257" uniqueCount="77">
  <si>
    <t xml:space="preserve">Viaje aéreo </t>
  </si>
  <si>
    <t xml:space="preserve">Cantidad </t>
  </si>
  <si>
    <t xml:space="preserve">Transporte </t>
  </si>
  <si>
    <t xml:space="preserve">Factores a tomar en cuenta </t>
  </si>
  <si>
    <t xml:space="preserve">Viaje terrestre </t>
  </si>
  <si>
    <t xml:space="preserve">Atracciones turísticas </t>
  </si>
  <si>
    <t xml:space="preserve">Combustible </t>
  </si>
  <si>
    <t xml:space="preserve">Compra de equipaje </t>
  </si>
  <si>
    <t xml:space="preserve">Impuestos turísticos </t>
  </si>
  <si>
    <t xml:space="preserve">Compras durante el viaje </t>
  </si>
  <si>
    <t xml:space="preserve">Descripción </t>
  </si>
  <si>
    <t xml:space="preserve">Maletas </t>
  </si>
  <si>
    <t>Guías</t>
  </si>
  <si>
    <t xml:space="preserve">Entradas a parques de entretenimiento  </t>
  </si>
  <si>
    <t xml:space="preserve">Entrada a museos </t>
  </si>
  <si>
    <t xml:space="preserve">Emergencias </t>
  </si>
  <si>
    <t xml:space="preserve">Compra de medicamentos/clínica </t>
  </si>
  <si>
    <t xml:space="preserve">Total impuestos </t>
  </si>
  <si>
    <t xml:space="preserve">Recuerdos </t>
  </si>
  <si>
    <t xml:space="preserve">Prendas de vestir </t>
  </si>
  <si>
    <t xml:space="preserve">Utencilios para el hogar </t>
  </si>
  <si>
    <t>Viaje Marítimo</t>
  </si>
  <si>
    <t>Alquiler de casa/apartamento para estadía</t>
  </si>
  <si>
    <t>S</t>
  </si>
  <si>
    <t>F</t>
  </si>
  <si>
    <t>T</t>
  </si>
  <si>
    <t>W</t>
  </si>
  <si>
    <t>M</t>
  </si>
  <si>
    <t>Diciembre</t>
  </si>
  <si>
    <t>Septiembre</t>
  </si>
  <si>
    <t>Junio</t>
  </si>
  <si>
    <t>Marzo</t>
  </si>
  <si>
    <t>Noviembre</t>
  </si>
  <si>
    <t>Agosto</t>
  </si>
  <si>
    <t>Mayo</t>
  </si>
  <si>
    <t>Febrero</t>
  </si>
  <si>
    <t>Octubre</t>
  </si>
  <si>
    <t>Julio</t>
  </si>
  <si>
    <t>Abril</t>
  </si>
  <si>
    <t>Enero</t>
  </si>
  <si>
    <t>Total</t>
  </si>
  <si>
    <t>Precio Adulto</t>
  </si>
  <si>
    <t>Precio Niño</t>
  </si>
  <si>
    <t>Precio Tercera Edad</t>
  </si>
  <si>
    <t>Individual</t>
  </si>
  <si>
    <t>Doble</t>
  </si>
  <si>
    <t>Triple</t>
  </si>
  <si>
    <t>Cuadruple</t>
  </si>
  <si>
    <t>Transporte por bus o metro</t>
  </si>
  <si>
    <t>Otros</t>
  </si>
  <si>
    <t>Imprevistos</t>
  </si>
  <si>
    <t>Manten una cantidad de dinero para imprevistos</t>
  </si>
  <si>
    <t>Transporte ida (Aeropuerto/terminal ) hotel</t>
  </si>
  <si>
    <t>Transporte regreso (Aeropuerto/terminal ) hotel</t>
  </si>
  <si>
    <t>Comida</t>
  </si>
  <si>
    <t>* En caso que el paquete no lo incluya y/o realice comidas fuera del hotel</t>
  </si>
  <si>
    <t xml:space="preserve">Hotel  (Precio por habitación) </t>
  </si>
  <si>
    <t>*Coloque el valor por la cantidad de noches a utilizar</t>
  </si>
  <si>
    <r>
      <rPr>
        <b/>
        <sz val="14"/>
        <color theme="3"/>
        <rFont val="Calibri"/>
        <family val="2"/>
        <scheme val="minor"/>
      </rPr>
      <t>Total gastos de viaje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</si>
  <si>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FastPass o entradas preferenciales </t>
  </si>
  <si>
    <t>Viaje en carro propio</t>
  </si>
  <si>
    <t>Impuestos de entrada o salida</t>
  </si>
  <si>
    <t>Precio por unidad en Moneda Local</t>
  </si>
  <si>
    <t>Coloca aquí la tasa de cambio de su país en caso de que aplique.</t>
  </si>
  <si>
    <t>Coloca aquí el precio de la descripción en dólares</t>
  </si>
  <si>
    <t>Valor en moneda local</t>
  </si>
  <si>
    <t>Cargo por sobre equipaje (en los casos que aplique)</t>
  </si>
  <si>
    <t>Extintor (en caso de no contar con uno)</t>
  </si>
  <si>
    <t>Copia y pega este link en tu navegador para validar el tipo de cambio de tu país</t>
  </si>
  <si>
    <t>http://www.ficohsa.com/hn/honduras/tipo-cambio/</t>
  </si>
  <si>
    <t>Caja de herramientas (en caso de no tener una)</t>
  </si>
  <si>
    <t>Mantenimiento de Carro</t>
  </si>
  <si>
    <t>Desayuno</t>
  </si>
  <si>
    <t>Almuerzo</t>
  </si>
  <si>
    <t xml:space="preserve">Cena </t>
  </si>
  <si>
    <t>Triángulo de precaución  (en caso de no contar con uno)</t>
  </si>
  <si>
    <t>Pago por noches</t>
  </si>
</sst>
</file>

<file path=xl/styles.xml><?xml version="1.0" encoding="utf-8"?>
<styleSheet xmlns="http://schemas.openxmlformats.org/spreadsheetml/2006/main">
  <numFmts count="4">
    <numFmt numFmtId="44" formatCode="_ &quot;L.&quot;\ * #,##0.00_ ;_ &quot;L.&quot;\ * \-#,##0.00_ ;_ &quot;L.&quot;\ * &quot;-&quot;??_ ;_ @_ "/>
    <numFmt numFmtId="164" formatCode="d"/>
    <numFmt numFmtId="165" formatCode="&quot;L.&quot;\ #,##0.00"/>
    <numFmt numFmtId="166" formatCode="[$USD]\ #,##0.0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Cambria"/>
      <family val="2"/>
      <scheme val="major"/>
    </font>
    <font>
      <b/>
      <sz val="28"/>
      <color theme="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theme="3"/>
      </left>
      <right/>
      <top style="thin">
        <color auto="1"/>
      </top>
      <bottom/>
      <diagonal/>
    </border>
  </borders>
  <cellStyleXfs count="1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164" fontId="2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6" xfId="1" applyFont="1" applyBorder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164" fontId="1" fillId="0" borderId="0" xfId="1" applyNumberFormat="1" applyFont="1" applyBorder="1"/>
    <xf numFmtId="164" fontId="2" fillId="0" borderId="10" xfId="1" applyNumberFormat="1" applyFont="1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1" fillId="3" borderId="0" xfId="1" applyFon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1" fillId="0" borderId="1" xfId="1" applyNumberFormat="1" applyFont="1" applyBorder="1" applyProtection="1">
      <protection hidden="1"/>
    </xf>
    <xf numFmtId="0" fontId="1" fillId="0" borderId="1" xfId="1" applyFont="1" applyBorder="1" applyAlignment="1">
      <alignment horizontal="center" vertical="center"/>
    </xf>
    <xf numFmtId="44" fontId="0" fillId="0" borderId="1" xfId="0" applyNumberFormat="1" applyBorder="1"/>
    <xf numFmtId="44" fontId="0" fillId="0" borderId="15" xfId="0" applyNumberFormat="1" applyBorder="1"/>
    <xf numFmtId="44" fontId="0" fillId="0" borderId="1" xfId="0" applyNumberFormat="1" applyBorder="1" applyAlignment="1">
      <alignment vertical="center"/>
    </xf>
    <xf numFmtId="44" fontId="7" fillId="4" borderId="1" xfId="0" applyNumberFormat="1" applyFont="1" applyFill="1" applyBorder="1"/>
    <xf numFmtId="0" fontId="3" fillId="3" borderId="14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1" fillId="0" borderId="16" xfId="1" applyFont="1" applyBorder="1" applyAlignment="1">
      <alignment horizontal="center" wrapText="1"/>
    </xf>
    <xf numFmtId="0" fontId="1" fillId="0" borderId="17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44" fontId="1" fillId="0" borderId="1" xfId="1" applyNumberFormat="1" applyFont="1" applyBorder="1" applyAlignment="1">
      <alignment horizontal="center"/>
    </xf>
    <xf numFmtId="0" fontId="5" fillId="0" borderId="18" xfId="16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11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/>
  </cellXfs>
  <cellStyles count="1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Normal" xfId="0" builtinId="0"/>
    <cellStyle name="Normal 2" xfId="1"/>
  </cellStyles>
  <dxfs count="16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4" formatCode="_ &quot;L.&quot;\ * #,##0.00_ ;_ &quot;L.&quot;\ * \-#,##0.00_ ;_ &quot;L.&quot;\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indexed="64"/>
        </bottom>
        <vertical/>
        <horizontal/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15</xdr:row>
      <xdr:rowOff>101601</xdr:rowOff>
    </xdr:to>
    <xdr:sp macro="" textlink="">
      <xdr:nvSpPr>
        <xdr:cNvPr id="1025" name="AutoShape 1" descr="Resultado de imagen para calendario 2017"/>
        <xdr:cNvSpPr>
          <a:spLocks noChangeAspect="1" noChangeArrowheads="1"/>
        </xdr:cNvSpPr>
      </xdr:nvSpPr>
      <xdr:spPr bwMode="auto">
        <a:xfrm>
          <a:off x="6562725" y="1571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39</xdr:col>
      <xdr:colOff>402167</xdr:colOff>
      <xdr:row>1</xdr:row>
      <xdr:rowOff>42333</xdr:rowOff>
    </xdr:to>
    <xdr:pic>
      <xdr:nvPicPr>
        <xdr:cNvPr id="3" name="Imagen 1" descr="fondo-vacacione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3051750" cy="166158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12</xdr:row>
      <xdr:rowOff>91017</xdr:rowOff>
    </xdr:to>
    <xdr:sp macro="" textlink="">
      <xdr:nvSpPr>
        <xdr:cNvPr id="4" name="AutoShape 1" descr="Resultado de imagen para calendario 2017"/>
        <xdr:cNvSpPr>
          <a:spLocks noChangeAspect="1" noChangeArrowheads="1"/>
        </xdr:cNvSpPr>
      </xdr:nvSpPr>
      <xdr:spPr bwMode="auto">
        <a:xfrm>
          <a:off x="9258300" y="3686175"/>
          <a:ext cx="304800" cy="3016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11225/Documents/CLIENTES/2017/TUS%20FINANZAS%20TU%20FUTURO/PRESUPUESTOS/CALENDA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Lista de búsqued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1" displayName="Tabla1" ref="A2:E43" totalsRowShown="0" headerRowDxfId="13" headerRowBorderDxfId="12" tableBorderDxfId="11" headerRowCellStyle="Normal">
  <tableColumns count="5">
    <tableColumn id="1" name="Factores a tomar en cuenta " dataDxfId="10" dataCellStyle="Normal"/>
    <tableColumn id="2" name="Descripción " dataDxfId="9"/>
    <tableColumn id="3" name="Precio por unidad en Moneda Local" dataDxfId="8"/>
    <tableColumn id="4" name="Cantidad " dataDxfId="7"/>
    <tableColumn id="5" name="Total" dataDxfId="6">
      <calculatedColumnFormula>Tabla1[[#This Row],[Precio por unidad en Moneda Local]]*Tabla1[[#This Row],[Cantidad 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orma de onda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cohsa.com/hn/honduras/tipo-cambio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90" zoomScaleNormal="90" zoomScalePageLayoutView="75" workbookViewId="0">
      <selection activeCell="U29" sqref="U29"/>
    </sheetView>
  </sheetViews>
  <sheetFormatPr defaultColWidth="9.140625" defaultRowHeight="15"/>
  <cols>
    <col min="1" max="1" width="38.42578125" customWidth="1"/>
    <col min="2" max="2" width="50" customWidth="1"/>
    <col min="3" max="3" width="31.140625" customWidth="1"/>
    <col min="4" max="4" width="14.28515625" bestFit="1" customWidth="1"/>
    <col min="5" max="5" width="13.5703125" customWidth="1"/>
    <col min="6" max="6" width="35.42578125" customWidth="1"/>
    <col min="7" max="7" width="12.28515625" bestFit="1" customWidth="1"/>
  </cols>
  <sheetData>
    <row r="1" spans="1:40" ht="127.5" customHeight="1"/>
    <row r="2" spans="1:40" ht="16.5" thickBot="1">
      <c r="A2" s="23" t="s">
        <v>3</v>
      </c>
      <c r="B2" s="23" t="s">
        <v>10</v>
      </c>
      <c r="C2" s="23" t="s">
        <v>62</v>
      </c>
      <c r="D2" s="23" t="s">
        <v>1</v>
      </c>
      <c r="E2" s="24" t="s">
        <v>40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ht="15" customHeight="1" thickTop="1">
      <c r="A3" s="57" t="s">
        <v>0</v>
      </c>
      <c r="B3" s="1" t="s">
        <v>41</v>
      </c>
      <c r="C3" s="1"/>
      <c r="D3" s="1"/>
      <c r="E3" s="27">
        <f>Tabla1[[#This Row],[Precio por unidad en Moneda Local]]*Tabla1[[#This Row],[Cantidad ]]</f>
        <v>0</v>
      </c>
      <c r="F3" s="32">
        <v>2017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</row>
    <row r="4" spans="1:40" ht="15" customHeight="1" thickBot="1">
      <c r="A4" s="59"/>
      <c r="B4" s="1" t="s">
        <v>42</v>
      </c>
      <c r="C4" s="1"/>
      <c r="D4" s="1"/>
      <c r="E4" s="27">
        <f>Tabla1[[#This Row],[Precio por unidad en Moneda Local]]*Tabla1[[#This Row],[Cantidad ]]</f>
        <v>0</v>
      </c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7"/>
    </row>
    <row r="5" spans="1:40" ht="18" customHeight="1" thickTop="1">
      <c r="A5" s="59"/>
      <c r="B5" s="1" t="s">
        <v>43</v>
      </c>
      <c r="C5" s="1"/>
      <c r="D5" s="1"/>
      <c r="E5" s="27">
        <f>Tabla1[[#This Row],[Precio por unidad en Moneda Local]]*Tabla1[[#This Row],[Cantidad ]]</f>
        <v>0</v>
      </c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5"/>
    </row>
    <row r="6" spans="1:40" ht="18" customHeight="1">
      <c r="A6" s="59"/>
      <c r="B6" s="1" t="s">
        <v>66</v>
      </c>
      <c r="C6" s="1"/>
      <c r="D6" s="1"/>
      <c r="E6" s="28">
        <f>Tabla1[[#This Row],[Precio por unidad en Moneda Local]]*Tabla1[[#This Row],[Cantidad ]]</f>
        <v>0</v>
      </c>
      <c r="F6" s="38" t="s">
        <v>68</v>
      </c>
      <c r="G6" s="38"/>
      <c r="H6" s="38"/>
      <c r="I6" s="31" t="s">
        <v>39</v>
      </c>
      <c r="J6" s="31"/>
      <c r="K6" s="31"/>
      <c r="L6" s="31"/>
      <c r="M6" s="31"/>
      <c r="N6" s="31"/>
      <c r="O6" s="31"/>
      <c r="P6" s="8"/>
      <c r="Q6" s="31" t="s">
        <v>38</v>
      </c>
      <c r="R6" s="31"/>
      <c r="S6" s="31"/>
      <c r="T6" s="31"/>
      <c r="U6" s="31"/>
      <c r="V6" s="31"/>
      <c r="W6" s="31"/>
      <c r="X6" s="8"/>
      <c r="Y6" s="31" t="s">
        <v>37</v>
      </c>
      <c r="Z6" s="31"/>
      <c r="AA6" s="31"/>
      <c r="AB6" s="31"/>
      <c r="AC6" s="31"/>
      <c r="AD6" s="31"/>
      <c r="AE6" s="31"/>
      <c r="AF6" s="8"/>
      <c r="AG6" s="31" t="s">
        <v>36</v>
      </c>
      <c r="AH6" s="31"/>
      <c r="AI6" s="31"/>
      <c r="AJ6" s="31"/>
      <c r="AK6" s="31"/>
      <c r="AL6" s="31"/>
      <c r="AM6" s="31"/>
      <c r="AN6" s="6"/>
    </row>
    <row r="7" spans="1:40" ht="18" customHeight="1">
      <c r="A7" s="59"/>
      <c r="B7" s="1" t="s">
        <v>61</v>
      </c>
      <c r="C7" s="1"/>
      <c r="D7" s="1"/>
      <c r="E7" s="28">
        <f>Tabla1[[#This Row],[Precio por unidad en Moneda Local]]*Tabla1[[#This Row],[Cantidad ]]</f>
        <v>0</v>
      </c>
      <c r="F7" s="39"/>
      <c r="G7" s="39"/>
      <c r="H7" s="39"/>
      <c r="I7" s="11" t="s">
        <v>23</v>
      </c>
      <c r="J7" s="11" t="s">
        <v>27</v>
      </c>
      <c r="K7" s="11" t="s">
        <v>25</v>
      </c>
      <c r="L7" s="11" t="s">
        <v>26</v>
      </c>
      <c r="M7" s="11" t="s">
        <v>25</v>
      </c>
      <c r="N7" s="11" t="s">
        <v>24</v>
      </c>
      <c r="O7" s="10" t="s">
        <v>23</v>
      </c>
      <c r="P7" s="8"/>
      <c r="Q7" s="12" t="s">
        <v>23</v>
      </c>
      <c r="R7" s="11" t="s">
        <v>27</v>
      </c>
      <c r="S7" s="11" t="s">
        <v>25</v>
      </c>
      <c r="T7" s="11" t="s">
        <v>26</v>
      </c>
      <c r="U7" s="11" t="s">
        <v>25</v>
      </c>
      <c r="V7" s="11" t="s">
        <v>24</v>
      </c>
      <c r="W7" s="10" t="s">
        <v>23</v>
      </c>
      <c r="X7" s="8"/>
      <c r="Y7" s="12" t="s">
        <v>23</v>
      </c>
      <c r="Z7" s="11" t="s">
        <v>27</v>
      </c>
      <c r="AA7" s="11" t="s">
        <v>25</v>
      </c>
      <c r="AB7" s="11" t="s">
        <v>26</v>
      </c>
      <c r="AC7" s="11" t="s">
        <v>25</v>
      </c>
      <c r="AD7" s="11" t="s">
        <v>24</v>
      </c>
      <c r="AE7" s="10" t="s">
        <v>23</v>
      </c>
      <c r="AF7" s="8"/>
      <c r="AG7" s="12" t="s">
        <v>23</v>
      </c>
      <c r="AH7" s="11" t="s">
        <v>27</v>
      </c>
      <c r="AI7" s="11" t="s">
        <v>25</v>
      </c>
      <c r="AJ7" s="11" t="s">
        <v>26</v>
      </c>
      <c r="AK7" s="11" t="s">
        <v>25</v>
      </c>
      <c r="AL7" s="11" t="s">
        <v>24</v>
      </c>
      <c r="AM7" s="10" t="s">
        <v>23</v>
      </c>
      <c r="AN7" s="6"/>
    </row>
    <row r="8" spans="1:40" ht="15.75">
      <c r="A8" s="57" t="s">
        <v>21</v>
      </c>
      <c r="B8" s="1" t="s">
        <v>41</v>
      </c>
      <c r="C8" s="1"/>
      <c r="D8" s="1"/>
      <c r="E8" s="27">
        <f>Tabla1[[#This Row],[Precio por unidad en Moneda Local]]*Tabla1[[#This Row],[Cantidad ]]</f>
        <v>0</v>
      </c>
      <c r="F8" s="44" t="s">
        <v>69</v>
      </c>
      <c r="G8" s="45"/>
      <c r="H8" s="45"/>
      <c r="I8" s="7">
        <f>IF(AND(YEAR(JanSun1)=TheYear,MONTH(JanSun1)=1),JanSun1, "")</f>
        <v>42736</v>
      </c>
      <c r="J8" s="7">
        <f>IF(AND(YEAR(JanSun1+1)=TheYear,MONTH(JanSun1+1)=1),JanSun1+1, "")</f>
        <v>42737</v>
      </c>
      <c r="K8" s="7">
        <f>IF(AND(YEAR(JanSun1+2)=TheYear,MONTH(JanSun1+2)=1),JanSun1+2, "")</f>
        <v>42738</v>
      </c>
      <c r="L8" s="7">
        <f>IF(AND(YEAR(JanSun1+3)=TheYear,MONTH(JanSun1+3)=1),JanSun1+3, "")</f>
        <v>42739</v>
      </c>
      <c r="M8" s="7">
        <f>IF(AND(YEAR(JanSun1+4)=TheYear,MONTH(JanSun1+4)=1),JanSun1+4, "")</f>
        <v>42740</v>
      </c>
      <c r="N8" s="7">
        <f>IF(AND(YEAR(JanSun1+5)=TheYear,MONTH(JanSun1+5)=1),JanSun1+5, "")</f>
        <v>42741</v>
      </c>
      <c r="O8" s="7">
        <f>IF(AND(YEAR(JanSun1+6)=TheYear,MONTH(JanSun1+6)=1),JanSun1+6, "")</f>
        <v>42742</v>
      </c>
      <c r="P8" s="8"/>
      <c r="Q8" s="7" t="str">
        <f>IF(AND(YEAR(AprSun1)=TheYear,MONTH(AprSun1)=4),AprSun1, "")</f>
        <v/>
      </c>
      <c r="R8" s="7" t="str">
        <f>IF(AND(YEAR(AprSun1+1)=TheYear,MONTH(AprSun1+1)=4),AprSun1+1, "")</f>
        <v/>
      </c>
      <c r="S8" s="7" t="str">
        <f>IF(AND(YEAR(AprSun1+2)=TheYear,MONTH(AprSun1+2)=4),AprSun1+2, "")</f>
        <v/>
      </c>
      <c r="T8" s="7" t="str">
        <f>IF(AND(YEAR(AprSun1+3)=TheYear,MONTH(AprSun1+3)=4),AprSun1+3, "")</f>
        <v/>
      </c>
      <c r="U8" s="7" t="str">
        <f>IF(AND(YEAR(AprSun1+4)=TheYear,MONTH(AprSun1+4)=4),AprSun1+4, "")</f>
        <v/>
      </c>
      <c r="V8" s="7" t="str">
        <f>IF(AND(YEAR(AprSun1+5)=TheYear,MONTH(AprSun1+5)=4),AprSun1+5, "")</f>
        <v/>
      </c>
      <c r="W8" s="7">
        <f>IF(AND(YEAR(AprSun1+6)=TheYear,MONTH(AprSun1+6)=4),AprSun1+6, "")</f>
        <v>42826</v>
      </c>
      <c r="X8" s="8"/>
      <c r="Y8" s="7" t="str">
        <f>IF(AND(YEAR(JulSun1)=TheYear,MONTH(JulSun1)=7),JulSun1, "")</f>
        <v/>
      </c>
      <c r="Z8" s="7" t="str">
        <f>IF(AND(YEAR(JulSun1+1)=TheYear,MONTH(JulSun1+1)=7),JulSun1+1, "")</f>
        <v/>
      </c>
      <c r="AA8" s="7" t="str">
        <f>IF(AND(YEAR(JulSun1+2)=TheYear,MONTH(JulSun1+2)=7),JulSun1+2, "")</f>
        <v/>
      </c>
      <c r="AB8" s="7" t="str">
        <f>IF(AND(YEAR(JulSun1+3)=TheYear,MONTH(JulSun1+3)=7),JulSun1+3, "")</f>
        <v/>
      </c>
      <c r="AC8" s="7" t="str">
        <f>IF(AND(YEAR(JulSun1+4)=TheYear,MONTH(JulSun1+4)=7),JulSun1+4, "")</f>
        <v/>
      </c>
      <c r="AD8" s="7" t="str">
        <f>IF(AND(YEAR(JulSun1+5)=TheYear,MONTH(JulSun1+5)=7),JulSun1+5, "")</f>
        <v/>
      </c>
      <c r="AE8" s="7">
        <f>IF(AND(YEAR(JulSun1+6)=TheYear,MONTH(JulSun1+6)=7),JulSun1+6, "")</f>
        <v>42917</v>
      </c>
      <c r="AF8" s="8"/>
      <c r="AG8" s="7">
        <f>IF(AND(YEAR(v)=TheYear,MONTH(v)=10),v, "")</f>
        <v>43009</v>
      </c>
      <c r="AH8" s="7">
        <f>IF(AND(YEAR(v+1)=TheYear,MONTH(v+1)=10),v+1, "")</f>
        <v>43010</v>
      </c>
      <c r="AI8" s="7">
        <f>IF(AND(YEAR(v+2)=TheYear,MONTH(v+2)=10),v+2, "")</f>
        <v>43011</v>
      </c>
      <c r="AJ8" s="7">
        <f>IF(AND(YEAR(v+3)=TheYear,MONTH(v+3)=10),v+3, "")</f>
        <v>43012</v>
      </c>
      <c r="AK8" s="7">
        <f>IF(AND(YEAR(v+4)=TheYear,MONTH(v+4)=10),v+4, "")</f>
        <v>43013</v>
      </c>
      <c r="AL8" s="7">
        <f>IF(AND(YEAR(v+5)=TheYear,MONTH(v+5)=10),v+5, "")</f>
        <v>43014</v>
      </c>
      <c r="AM8" s="7">
        <f>IF(AND(YEAR(v+6)=TheYear,MONTH(v+6)=10),v+6, "")</f>
        <v>43015</v>
      </c>
      <c r="AN8" s="6"/>
    </row>
    <row r="9" spans="1:40" ht="15.75">
      <c r="A9" s="58"/>
      <c r="B9" s="1" t="s">
        <v>42</v>
      </c>
      <c r="C9" s="1"/>
      <c r="D9" s="1"/>
      <c r="E9" s="27">
        <f>Tabla1[[#This Row],[Precio por unidad en Moneda Local]]*Tabla1[[#This Row],[Cantidad ]]</f>
        <v>0</v>
      </c>
      <c r="F9" s="46"/>
      <c r="G9" s="47"/>
      <c r="H9" s="47"/>
      <c r="I9" s="7">
        <f>IF(AND(YEAR(JanSun1+7)=TheYear,MONTH(JanSun1+7)=1),JanSun1+7, "")</f>
        <v>42743</v>
      </c>
      <c r="J9" s="7">
        <f>IF(AND(YEAR(JanSun1+8)=TheYear,MONTH(JanSun1+8)=1),JanSun1+8, "")</f>
        <v>42744</v>
      </c>
      <c r="K9" s="7">
        <f>IF(AND(YEAR(JanSun1+9)=TheYear,MONTH(JanSun1+9)=1),JanSun1+9, "")</f>
        <v>42745</v>
      </c>
      <c r="L9" s="7">
        <f>IF(AND(YEAR(JanSun1+10)=TheYear,MONTH(JanSun1+10)=1),JanSun1+10, "")</f>
        <v>42746</v>
      </c>
      <c r="M9" s="7">
        <f>IF(AND(YEAR(JanSun1+11)=TheYear,MONTH(JanSun1+11)=1),JanSun1+11, "")</f>
        <v>42747</v>
      </c>
      <c r="N9" s="7">
        <f>IF(AND(YEAR(JanSun1+12)=TheYear,MONTH(JanSun1+12)=1),JanSun1+12, "")</f>
        <v>42748</v>
      </c>
      <c r="O9" s="7">
        <f>IF(AND(YEAR(JanSun1+13)=TheYear,MONTH(JanSun1+13)=1),JanSun1+13, "")</f>
        <v>42749</v>
      </c>
      <c r="P9" s="8"/>
      <c r="Q9" s="7">
        <f>IF(AND(YEAR(AprSun1+7)=TheYear,MONTH(AprSun1+7)=4),AprSun1+7, "")</f>
        <v>42827</v>
      </c>
      <c r="R9" s="7">
        <f>IF(AND(YEAR(AprSun1+8)=TheYear,MONTH(AprSun1+8)=4),AprSun1+8, "")</f>
        <v>42828</v>
      </c>
      <c r="S9" s="7">
        <f>IF(AND(YEAR(AprSun1+9)=TheYear,MONTH(AprSun1+9)=4),AprSun1+9, "")</f>
        <v>42829</v>
      </c>
      <c r="T9" s="7">
        <f>IF(AND(YEAR(AprSun1+10)=TheYear,MONTH(AprSun1+10)=4),AprSun1+10, "")</f>
        <v>42830</v>
      </c>
      <c r="U9" s="7">
        <f>IF(AND(YEAR(AprSun1+11)=TheYear,MONTH(AprSun1+11)=4),AprSun1+11, "")</f>
        <v>42831</v>
      </c>
      <c r="V9" s="7">
        <f>IF(AND(YEAR(AprSun1+12)=TheYear,MONTH(AprSun1+12)=4),AprSun1+12, "")</f>
        <v>42832</v>
      </c>
      <c r="W9" s="7">
        <f>IF(AND(YEAR(AprSun1+13)=TheYear,MONTH(AprSun1+13)=4),AprSun1+13, "")</f>
        <v>42833</v>
      </c>
      <c r="X9" s="8"/>
      <c r="Y9" s="7">
        <f>IF(AND(YEAR(JulSun1+7)=TheYear,MONTH(JulSun1+7)=7),JulSun1+7, "")</f>
        <v>42918</v>
      </c>
      <c r="Z9" s="7">
        <f>IF(AND(YEAR(JulSun1+8)=TheYear,MONTH(JulSun1+8)=7),JulSun1+8, "")</f>
        <v>42919</v>
      </c>
      <c r="AA9" s="7">
        <f>IF(AND(YEAR(JulSun1+9)=TheYear,MONTH(JulSun1+9)=7),JulSun1+9, "")</f>
        <v>42920</v>
      </c>
      <c r="AB9" s="7">
        <f>IF(AND(YEAR(JulSun1+10)=TheYear,MONTH(JulSun1+10)=7),JulSun1+10, "")</f>
        <v>42921</v>
      </c>
      <c r="AC9" s="7">
        <f>IF(AND(YEAR(JulSun1+11)=TheYear,MONTH(JulSun1+11)=7),JulSun1+11, "")</f>
        <v>42922</v>
      </c>
      <c r="AD9" s="7">
        <f>IF(AND(YEAR(JulSun1+12)=TheYear,MONTH(JulSun1+12)=7),JulSun1+12, "")</f>
        <v>42923</v>
      </c>
      <c r="AE9" s="7">
        <f>IF(AND(YEAR(JulSun1+13)=TheYear,MONTH(JulSun1+13)=7),JulSun1+13, "")</f>
        <v>42924</v>
      </c>
      <c r="AF9" s="8"/>
      <c r="AG9" s="7">
        <f>IF(AND(YEAR(v+7)=TheYear,MONTH(v+7)=10),v+7, "")</f>
        <v>43016</v>
      </c>
      <c r="AH9" s="7">
        <f>IF(AND(YEAR(v+8)=TheYear,MONTH(v+8)=10),v+8, "")</f>
        <v>43017</v>
      </c>
      <c r="AI9" s="7">
        <f>IF(AND(YEAR(v+9)=TheYear,MONTH(v+9)=10),v+9, "")</f>
        <v>43018</v>
      </c>
      <c r="AJ9" s="7">
        <f>IF(AND(YEAR(v+10)=TheYear,MONTH(v+10)=10),v+10, "")</f>
        <v>43019</v>
      </c>
      <c r="AK9" s="7">
        <f>IF(AND(YEAR(v+11)=TheYear,MONTH(v+11)=10),v+11, "")</f>
        <v>43020</v>
      </c>
      <c r="AL9" s="7">
        <f>IF(AND(YEAR(v+12)=TheYear,MONTH(v+12)=10),v+12, "")</f>
        <v>43021</v>
      </c>
      <c r="AM9" s="7">
        <f>IF(AND(YEAR(v+13)=TheYear,MONTH(v+13)=10),v+13, "")</f>
        <v>43022</v>
      </c>
      <c r="AN9" s="6"/>
    </row>
    <row r="10" spans="1:40" ht="15.75">
      <c r="A10" s="58"/>
      <c r="B10" s="1" t="s">
        <v>43</v>
      </c>
      <c r="C10" s="1"/>
      <c r="D10" s="1"/>
      <c r="E10" s="28">
        <f>Tabla1[[#This Row],[Precio por unidad en Moneda Local]]*Tabla1[[#This Row],[Cantidad ]]</f>
        <v>0</v>
      </c>
      <c r="H10" s="8"/>
      <c r="I10" s="7">
        <f>IF(AND(YEAR(JanSun1+14)=TheYear,MONTH(JanSun1+14)=1),JanSun1+14, "")</f>
        <v>42750</v>
      </c>
      <c r="J10" s="7">
        <f>IF(AND(YEAR(JanSun1+15)=TheYear,MONTH(JanSun1+15)=1),JanSun1+15, "")</f>
        <v>42751</v>
      </c>
      <c r="K10" s="7">
        <f>IF(AND(YEAR(JanSun1+16)=TheYear,MONTH(JanSun1+16)=1),JanSun1+16, "")</f>
        <v>42752</v>
      </c>
      <c r="L10" s="7">
        <f>IF(AND(YEAR(JanSun1+17)=TheYear,MONTH(JanSun1+17)=1),JanSun1+17, "")</f>
        <v>42753</v>
      </c>
      <c r="M10" s="7">
        <f>IF(AND(YEAR(JanSun1+18)=TheYear,MONTH(JanSun1+18)=1),JanSun1+18, "")</f>
        <v>42754</v>
      </c>
      <c r="N10" s="7">
        <f>IF(AND(YEAR(JanSun1+19)=TheYear,MONTH(JanSun1+19)=1),JanSun1+19, "")</f>
        <v>42755</v>
      </c>
      <c r="O10" s="7">
        <f>IF(AND(YEAR(JanSun1+20)=TheYear,MONTH(JanSun1+20)=1),JanSun1+20, "")</f>
        <v>42756</v>
      </c>
      <c r="P10" s="8"/>
      <c r="Q10" s="7">
        <f>IF(AND(YEAR(AprSun1+14)=TheYear,MONTH(AprSun1+14)=4),AprSun1+14, "")</f>
        <v>42834</v>
      </c>
      <c r="R10" s="7">
        <f>IF(AND(YEAR(AprSun1+15)=TheYear,MONTH(AprSun1+15)=4),AprSun1+15, "")</f>
        <v>42835</v>
      </c>
      <c r="S10" s="7">
        <f>IF(AND(YEAR(AprSun1+16)=TheYear,MONTH(AprSun1+16)=4),AprSun1+16, "")</f>
        <v>42836</v>
      </c>
      <c r="T10" s="7">
        <f>IF(AND(YEAR(AprSun1+17)=TheYear,MONTH(AprSun1+17)=4),AprSun1+17, "")</f>
        <v>42837</v>
      </c>
      <c r="U10" s="7">
        <f>IF(AND(YEAR(AprSun1+18)=TheYear,MONTH(AprSun1+18)=4),AprSun1+18, "")</f>
        <v>42838</v>
      </c>
      <c r="V10" s="7">
        <f>IF(AND(YEAR(AprSun1+19)=TheYear,MONTH(AprSun1+19)=4),AprSun1+19, "")</f>
        <v>42839</v>
      </c>
      <c r="W10" s="7">
        <f>IF(AND(YEAR(AprSun1+20)=TheYear,MONTH(AprSun1+20)=4),AprSun1+20, "")</f>
        <v>42840</v>
      </c>
      <c r="X10" s="8"/>
      <c r="Y10" s="7">
        <f>IF(AND(YEAR(JulSun1+14)=TheYear,MONTH(JulSun1+14)=7),JulSun1+14, "")</f>
        <v>42925</v>
      </c>
      <c r="Z10" s="7">
        <f>IF(AND(YEAR(JulSun1+15)=TheYear,MONTH(JulSun1+15)=7),JulSun1+15, "")</f>
        <v>42926</v>
      </c>
      <c r="AA10" s="7">
        <f>IF(AND(YEAR(JulSun1+16)=TheYear,MONTH(JulSun1+16)=7),JulSun1+16, "")</f>
        <v>42927</v>
      </c>
      <c r="AB10" s="7">
        <f>IF(AND(YEAR(JulSun1+17)=TheYear,MONTH(JulSun1+17)=7),JulSun1+17, "")</f>
        <v>42928</v>
      </c>
      <c r="AC10" s="7">
        <f>IF(AND(YEAR(JulSun1+18)=TheYear,MONTH(JulSun1+18)=7),JulSun1+18, "")</f>
        <v>42929</v>
      </c>
      <c r="AD10" s="7">
        <f>IF(AND(YEAR(JulSun1+19)=TheYear,MONTH(JulSun1+19)=7),JulSun1+19, "")</f>
        <v>42930</v>
      </c>
      <c r="AE10" s="7">
        <f>IF(AND(YEAR(JulSun1+20)=TheYear,MONTH(JulSun1+20)=7),JulSun1+20, "")</f>
        <v>42931</v>
      </c>
      <c r="AF10" s="8"/>
      <c r="AG10" s="7">
        <f>IF(AND(YEAR(v+14)=TheYear,MONTH(v+14)=10),v+14, "")</f>
        <v>43023</v>
      </c>
      <c r="AH10" s="7">
        <f>IF(AND(YEAR(v+15)=TheYear,MONTH(v+15)=10),v+15, "")</f>
        <v>43024</v>
      </c>
      <c r="AI10" s="7">
        <f>IF(AND(YEAR(v+16)=TheYear,MONTH(v+16)=10),v+16, "")</f>
        <v>43025</v>
      </c>
      <c r="AJ10" s="7">
        <f>IF(AND(YEAR(v+17)=TheYear,MONTH(v+17)=10),v+17, "")</f>
        <v>43026</v>
      </c>
      <c r="AK10" s="7">
        <f>IF(AND(YEAR(v+18)=TheYear,MONTH(v+18)=10),v+18, "")</f>
        <v>43027</v>
      </c>
      <c r="AL10" s="7">
        <f>IF(AND(YEAR(v+19)=TheYear,MONTH(v+19)=10),v+19, "")</f>
        <v>43028</v>
      </c>
      <c r="AM10" s="7">
        <f>IF(AND(YEAR(v+20)=TheYear,MONTH(v+20)=10),v+20, "")</f>
        <v>43029</v>
      </c>
      <c r="AN10" s="6"/>
    </row>
    <row r="11" spans="1:40" ht="15.75">
      <c r="A11" s="57" t="s">
        <v>4</v>
      </c>
      <c r="B11" s="1" t="s">
        <v>41</v>
      </c>
      <c r="C11" s="1"/>
      <c r="D11" s="1"/>
      <c r="E11" s="28">
        <f>Tabla1[[#This Row],[Precio por unidad en Moneda Local]]*Tabla1[[#This Row],[Cantidad ]]</f>
        <v>0</v>
      </c>
      <c r="H11" s="8"/>
      <c r="I11" s="7">
        <f>IF(AND(YEAR(JanSun1+21)=TheYear,MONTH(JanSun1+21)=1),JanSun1+21, "")</f>
        <v>42757</v>
      </c>
      <c r="J11" s="7">
        <f>IF(AND(YEAR(JanSun1+22)=TheYear,MONTH(JanSun1+22)=1),JanSun1+22, "")</f>
        <v>42758</v>
      </c>
      <c r="K11" s="7">
        <f>IF(AND(YEAR(JanSun1+23)=TheYear,MONTH(JanSun1+23)=1),JanSun1+23, "")</f>
        <v>42759</v>
      </c>
      <c r="L11" s="7">
        <f>IF(AND(YEAR(JanSun1+24)=TheYear,MONTH(JanSun1+24)=1),JanSun1+24, "")</f>
        <v>42760</v>
      </c>
      <c r="M11" s="7">
        <f>IF(AND(YEAR(JanSun1+25)=TheYear,MONTH(JanSun1+25)=1),JanSun1+25, "")</f>
        <v>42761</v>
      </c>
      <c r="N11" s="7">
        <f>IF(AND(YEAR(JanSun1+26)=TheYear,MONTH(JanSun1+26)=1),JanSun1+26, "")</f>
        <v>42762</v>
      </c>
      <c r="O11" s="7">
        <f>IF(AND(YEAR(JanSun1+27)=TheYear,MONTH(JanSun1+27)=1),JanSun1+27, "")</f>
        <v>42763</v>
      </c>
      <c r="P11" s="8"/>
      <c r="Q11" s="7">
        <f>IF(AND(YEAR(AprSun1+21)=TheYear,MONTH(AprSun1+21)=4),AprSun1+21, "")</f>
        <v>42841</v>
      </c>
      <c r="R11" s="7">
        <f>IF(AND(YEAR(AprSun1+22)=TheYear,MONTH(AprSun1+22)=4),AprSun1+22, "")</f>
        <v>42842</v>
      </c>
      <c r="S11" s="7">
        <f>IF(AND(YEAR(AprSun1+23)=TheYear,MONTH(AprSun1+23)=4),AprSun1+23, "")</f>
        <v>42843</v>
      </c>
      <c r="T11" s="7">
        <f>IF(AND(YEAR(AprSun1+24)=TheYear,MONTH(AprSun1+24)=4),AprSun1+24, "")</f>
        <v>42844</v>
      </c>
      <c r="U11" s="7">
        <f>IF(AND(YEAR(AprSun1+25)=TheYear,MONTH(AprSun1+25)=4),AprSun1+25, "")</f>
        <v>42845</v>
      </c>
      <c r="V11" s="7">
        <f>IF(AND(YEAR(AprSun1+26)=TheYear,MONTH(AprSun1+26)=4),AprSun1+26, "")</f>
        <v>42846</v>
      </c>
      <c r="W11" s="7">
        <f>IF(AND(YEAR(AprSun1+27)=TheYear,MONTH(AprSun1+27)=4),AprSun1+27, "")</f>
        <v>42847</v>
      </c>
      <c r="X11" s="8"/>
      <c r="Y11" s="7">
        <f>IF(AND(YEAR(JulSun1+21)=TheYear,MONTH(JulSun1+21)=7),JulSun1+21, "")</f>
        <v>42932</v>
      </c>
      <c r="Z11" s="7">
        <f>IF(AND(YEAR(JulSun1+22)=TheYear,MONTH(JulSun1+22)=7),JulSun1+22, "")</f>
        <v>42933</v>
      </c>
      <c r="AA11" s="7">
        <f>IF(AND(YEAR(JulSun1+23)=TheYear,MONTH(JulSun1+23)=7),JulSun1+23, "")</f>
        <v>42934</v>
      </c>
      <c r="AB11" s="7">
        <f>IF(AND(YEAR(JulSun1+24)=TheYear,MONTH(JulSun1+24)=7),JulSun1+24, "")</f>
        <v>42935</v>
      </c>
      <c r="AC11" s="7">
        <f>IF(AND(YEAR(JulSun1+25)=TheYear,MONTH(JulSun1+25)=7),JulSun1+25, "")</f>
        <v>42936</v>
      </c>
      <c r="AD11" s="7">
        <f>IF(AND(YEAR(JulSun1+26)=TheYear,MONTH(JulSun1+26)=7),JulSun1+26, "")</f>
        <v>42937</v>
      </c>
      <c r="AE11" s="7">
        <f>IF(AND(YEAR(JulSun1+27)=TheYear,MONTH(JulSun1+27)=7),JulSun1+27, "")</f>
        <v>42938</v>
      </c>
      <c r="AF11" s="8"/>
      <c r="AG11" s="7">
        <f>IF(AND(YEAR(v+21)=TheYear,MONTH(v+21)=10),v+21, "")</f>
        <v>43030</v>
      </c>
      <c r="AH11" s="7">
        <f>IF(AND(YEAR(v+22)=TheYear,MONTH(v+22)=10),v+22, "")</f>
        <v>43031</v>
      </c>
      <c r="AI11" s="7">
        <f>IF(AND(YEAR(v+23)=TheYear,MONTH(v+23)=10),v+23, "")</f>
        <v>43032</v>
      </c>
      <c r="AJ11" s="7">
        <f>IF(AND(YEAR(v+24)=TheYear,MONTH(v+24)=10),v+24, "")</f>
        <v>43033</v>
      </c>
      <c r="AK11" s="7">
        <f>IF(AND(YEAR(v+25)=TheYear,MONTH(v+25)=10),v+25, "")</f>
        <v>43034</v>
      </c>
      <c r="AL11" s="7">
        <f>IF(AND(YEAR(v+26)=TheYear,MONTH(v+26)=10),v+26, "")</f>
        <v>43035</v>
      </c>
      <c r="AM11" s="7">
        <f>IF(AND(YEAR(v+27)=TheYear,MONTH(v+27)=10),v+27, "")</f>
        <v>43036</v>
      </c>
      <c r="AN11" s="6"/>
    </row>
    <row r="12" spans="1:40" ht="15.75">
      <c r="A12" s="59"/>
      <c r="B12" s="1" t="s">
        <v>42</v>
      </c>
      <c r="C12" s="1"/>
      <c r="D12" s="1"/>
      <c r="E12" s="28">
        <f>Tabla1[[#This Row],[Precio por unidad en Moneda Local]]*Tabla1[[#This Row],[Cantidad ]]</f>
        <v>0</v>
      </c>
      <c r="F12" s="42" t="s">
        <v>63</v>
      </c>
      <c r="G12" s="43"/>
      <c r="H12" s="8"/>
      <c r="I12" s="7">
        <f>IF(AND(YEAR(JanSun1+28)=TheYear,MONTH(JanSun1+28)=1),JanSun1+28, "")</f>
        <v>42764</v>
      </c>
      <c r="J12" s="7">
        <f>IF(AND(YEAR(JanSun1+29)=TheYear,MONTH(JanSun1+29)=1),JanSun1+29, "")</f>
        <v>42765</v>
      </c>
      <c r="K12" s="7">
        <f>IF(AND(YEAR(JanSun1+30)=TheYear,MONTH(JanSun1+30)=1),JanSun1+30, "")</f>
        <v>42766</v>
      </c>
      <c r="L12" s="7" t="str">
        <f>IF(AND(YEAR(JanSun1+31)=TheYear,MONTH(JanSun1+31)=1),JanSun1+31, "")</f>
        <v/>
      </c>
      <c r="M12" s="7" t="str">
        <f>IF(AND(YEAR(JanSun1+32)=TheYear,MONTH(JanSun1+32)=1),JanSun1+32, "")</f>
        <v/>
      </c>
      <c r="N12" s="7" t="str">
        <f>IF(AND(YEAR(JanSun1+33)=TheYear,MONTH(JanSun1+33)=1),JanSun1+33, "")</f>
        <v/>
      </c>
      <c r="O12" s="7" t="str">
        <f>IF(AND(YEAR(JanSun1+34)=TheYear,MONTH(JanSun1+34)=1),JanSun1+34, "")</f>
        <v/>
      </c>
      <c r="P12" s="8"/>
      <c r="Q12" s="7">
        <f>IF(AND(YEAR(AprSun1+28)=TheYear,MONTH(AprSun1+28)=4),AprSun1+28, "")</f>
        <v>42848</v>
      </c>
      <c r="R12" s="7">
        <f>IF(AND(YEAR(AprSun1+29)=TheYear,MONTH(AprSun1+29)=4),AprSun1+29, "")</f>
        <v>42849</v>
      </c>
      <c r="S12" s="7">
        <f>IF(AND(YEAR(AprSun1+30)=TheYear,MONTH(AprSun1+30)=4),AprSun1+30, "")</f>
        <v>42850</v>
      </c>
      <c r="T12" s="7">
        <f>IF(AND(YEAR(AprSun1+31)=TheYear,MONTH(AprSun1+31)=4),AprSun1+31, "")</f>
        <v>42851</v>
      </c>
      <c r="U12" s="7">
        <f>IF(AND(YEAR(AprSun1+32)=TheYear,MONTH(AprSun1+32)=4),AprSun1+32, "")</f>
        <v>42852</v>
      </c>
      <c r="V12" s="7">
        <f>IF(AND(YEAR(AprSun1+33)=TheYear,MONTH(AprSun1+33)=4),AprSun1+33, "")</f>
        <v>42853</v>
      </c>
      <c r="W12" s="7">
        <f>IF(AND(YEAR(AprSun1+34)=TheYear,MONTH(AprSun1+34)=4),AprSun1+34, "")</f>
        <v>42854</v>
      </c>
      <c r="X12" s="8"/>
      <c r="Y12" s="7">
        <f>IF(AND(YEAR(JulSun1+28)=TheYear,MONTH(JulSun1+28)=7),JulSun1+28, "")</f>
        <v>42939</v>
      </c>
      <c r="Z12" s="7">
        <f>IF(AND(YEAR(JulSun1+29)=TheYear,MONTH(JulSun1+29)=7),JulSun1+29, "")</f>
        <v>42940</v>
      </c>
      <c r="AA12" s="7">
        <f>IF(AND(YEAR(JulSun1+30)=TheYear,MONTH(JulSun1+30)=7),JulSun1+30, "")</f>
        <v>42941</v>
      </c>
      <c r="AB12" s="7">
        <f>IF(AND(YEAR(JulSun1+31)=TheYear,MONTH(JulSun1+31)=7),JulSun1+31, "")</f>
        <v>42942</v>
      </c>
      <c r="AC12" s="7">
        <f>IF(AND(YEAR(JulSun1+32)=TheYear,MONTH(JulSun1+32)=7),JulSun1+32, "")</f>
        <v>42943</v>
      </c>
      <c r="AD12" s="7">
        <f>IF(AND(YEAR(JulSun1+33)=TheYear,MONTH(JulSun1+33)=7),JulSun1+33, "")</f>
        <v>42944</v>
      </c>
      <c r="AE12" s="7">
        <f>IF(AND(YEAR(JulSun1+34)=TheYear,MONTH(JulSun1+34)=7),JulSun1+34, "")</f>
        <v>42945</v>
      </c>
      <c r="AF12" s="8"/>
      <c r="AG12" s="7">
        <f>IF(AND(YEAR(v+28)=TheYear,MONTH(v+28)=10),v+28, "")</f>
        <v>43037</v>
      </c>
      <c r="AH12" s="7">
        <f>IF(AND(YEAR(v+29)=TheYear,MONTH(v+29)=10),v+29, "")</f>
        <v>43038</v>
      </c>
      <c r="AI12" s="7">
        <f>IF(AND(YEAR(v+30)=TheYear,MONTH(v+30)=10),v+30, "")</f>
        <v>43039</v>
      </c>
      <c r="AJ12" s="7" t="str">
        <f>IF(AND(YEAR(v+31)=TheYear,MONTH(v+31)=10),v+31, "")</f>
        <v/>
      </c>
      <c r="AK12" s="7" t="str">
        <f>IF(AND(YEAR(v+32)=TheYear,MONTH(v+32)=10),v+32, "")</f>
        <v/>
      </c>
      <c r="AL12" s="7" t="str">
        <f>IF(AND(YEAR(v+33)=TheYear,MONTH(v+33)=10),v+33, "")</f>
        <v/>
      </c>
      <c r="AM12" s="7" t="str">
        <f>IF(AND(YEAR(v+34)=TheYear,MONTH(v+34)=10),v+34, "")</f>
        <v/>
      </c>
      <c r="AN12" s="6"/>
    </row>
    <row r="13" spans="1:40" ht="15.75">
      <c r="A13" s="59"/>
      <c r="B13" s="1" t="s">
        <v>43</v>
      </c>
      <c r="C13" s="1"/>
      <c r="D13" s="1"/>
      <c r="E13" s="28">
        <f>Tabla1[[#This Row],[Precio por unidad en Moneda Local]]*Tabla1[[#This Row],[Cantidad ]]</f>
        <v>0</v>
      </c>
      <c r="F13" s="42"/>
      <c r="G13" s="43"/>
      <c r="H13" s="8"/>
      <c r="I13" s="7" t="str">
        <f>IF(AND(YEAR(JanSun1+35)=TheYear,MONTH(JanSun1+35)=1),JanSun1+35, "")</f>
        <v/>
      </c>
      <c r="J13" s="7" t="str">
        <f>IF(AND(YEAR(JanSun1+36)=TheYear,MONTH(JanSun1+36)=1),JanSun1+36, "")</f>
        <v/>
      </c>
      <c r="K13" s="7" t="str">
        <f>IF(AND(YEAR(JanSun1+37)=TheYear,MONTH(JanSun1+37)=1),JanSun1+37, "")</f>
        <v/>
      </c>
      <c r="L13" s="7" t="str">
        <f>IF(AND(YEAR(JanSun1+38)=TheYear,MONTH(JanSun1+38)=1),JanSun1+38, "")</f>
        <v/>
      </c>
      <c r="M13" s="7" t="str">
        <f>IF(AND(YEAR(JanSun1+39)=TheYear,MONTH(JanSun1+39)=1),JanSun1+39, "")</f>
        <v/>
      </c>
      <c r="N13" s="7" t="str">
        <f>IF(AND(YEAR(JanSun1+40)=TheYear,MONTH(JanSun1+40)=1),JanSun1+40, "")</f>
        <v/>
      </c>
      <c r="O13" s="7" t="str">
        <f>IF(AND(YEAR(JanSun1+41)=TheYear,MONTH(JanSun1+41)=1),JanSun1+41, "")</f>
        <v/>
      </c>
      <c r="P13" s="8"/>
      <c r="Q13" s="14">
        <f>IF(AND(YEAR(AprSun1+35)=TheYear,MONTH(AprSun1+35)=4),AprSun1+35, "")</f>
        <v>42855</v>
      </c>
      <c r="R13" s="14" t="str">
        <f>IF(AND(YEAR(AprSun1+36)=TheYear,MONTH(AprSun1+36)=4),AprSun1+36, "")</f>
        <v/>
      </c>
      <c r="S13" s="14" t="str">
        <f>IF(AND(YEAR(AprSun1+37)=TheYear,MONTH(AprSun1+37)=4),AprSun1+37, "")</f>
        <v/>
      </c>
      <c r="T13" s="14" t="str">
        <f>IF(AND(YEAR(AprSun1+38)=TheYear,MONTH(AprSun1+38)=4),AprSun1+38, "")</f>
        <v/>
      </c>
      <c r="U13" s="14" t="str">
        <f>IF(AND(YEAR(AprSun1+39)=TheYear,MONTH(AprSun1+39)=4),AprSun1+39, "")</f>
        <v/>
      </c>
      <c r="V13" s="14" t="str">
        <f>IF(AND(YEAR(AprSun1+40)=TheYear,MONTH(AprSun1+40)=4),AprSun1+40, "")</f>
        <v/>
      </c>
      <c r="W13" s="14" t="str">
        <f>IF(AND(YEAR(AprSun1+41)=TheYear,MONTH(AprSun1+41)=4),AprSun1+41, "")</f>
        <v/>
      </c>
      <c r="X13" s="8"/>
      <c r="Y13" s="14">
        <f>IF(AND(YEAR(JulSun1+35)=TheYear,MONTH(JulSun1+35)=7),JulSun1+35, "")</f>
        <v>42946</v>
      </c>
      <c r="Z13" s="14">
        <f>IF(AND(YEAR(JulSun1+36)=TheYear,MONTH(JulSun1+36)=7),JulSun1+36, "")</f>
        <v>42947</v>
      </c>
      <c r="AA13" s="14" t="str">
        <f>IF(AND(YEAR(JulSun1+37)=TheYear,MONTH(JulSun1+37)=7),JulSun1+37, "")</f>
        <v/>
      </c>
      <c r="AB13" s="14" t="str">
        <f>IF(AND(YEAR(JulSun1+38)=TheYear,MONTH(JulSun1+38)=7),JulSun1+38, "")</f>
        <v/>
      </c>
      <c r="AC13" s="14" t="str">
        <f>IF(AND(YEAR(JulSun1+39)=TheYear,MONTH(JulSun1+39)=7),JulSun1+39, "")</f>
        <v/>
      </c>
      <c r="AD13" s="14" t="str">
        <f>IF(AND(YEAR(JulSun1+40)=TheYear,MONTH(JulSun1+40)=7),JulSun1+40, "")</f>
        <v/>
      </c>
      <c r="AE13" s="14" t="str">
        <f>IF(AND(YEAR(JulSun1+41)=TheYear,MONTH(JulSun1+41)=7),JulSun1+41, "")</f>
        <v/>
      </c>
      <c r="AF13" s="8"/>
      <c r="AG13" s="7" t="str">
        <f>IF(AND(YEAR(v+35)=TheYear,MONTH(v+35)=10),v+35, "")</f>
        <v/>
      </c>
      <c r="AH13" s="7" t="str">
        <f>IF(AND(YEAR(v+36)=TheYear,MONTH(v+36)=10),v+36, "")</f>
        <v/>
      </c>
      <c r="AI13" s="7" t="str">
        <f>IF(AND(YEAR(v+37)=TheYear,MONTH(v+37)=10),v+37, "")</f>
        <v/>
      </c>
      <c r="AJ13" s="7" t="str">
        <f>IF(AND(YEAR(v+38)=TheYear,MONTH(v+38)=10),v+38, "")</f>
        <v/>
      </c>
      <c r="AK13" s="7" t="str">
        <f>IF(AND(YEAR(v+39)=TheYear,MONTH(v+39)=10),v+39, "")</f>
        <v/>
      </c>
      <c r="AL13" s="7" t="str">
        <f>IF(AND(YEAR(v+40)=TheYear,MONTH(v+40)=10),v+40, "")</f>
        <v/>
      </c>
      <c r="AM13" s="7" t="str">
        <f>IF(AND(YEAR(v+41)=TheYear,MONTH(v+41)=10),v+41, "")</f>
        <v/>
      </c>
      <c r="AN13" s="6"/>
    </row>
    <row r="14" spans="1:40" ht="15.75">
      <c r="A14" s="57" t="s">
        <v>60</v>
      </c>
      <c r="B14" s="1" t="s">
        <v>6</v>
      </c>
      <c r="C14" s="1"/>
      <c r="D14" s="1"/>
      <c r="E14" s="28">
        <f>Tabla1[[#This Row],[Precio por unidad en Moneda Local]]*Tabla1[[#This Row],[Cantidad ]]</f>
        <v>0</v>
      </c>
      <c r="F14" s="40" t="s">
        <v>64</v>
      </c>
      <c r="G14" s="41"/>
      <c r="H14" s="8"/>
      <c r="I14" s="13"/>
      <c r="J14" s="13"/>
      <c r="K14" s="13"/>
      <c r="L14" s="13"/>
      <c r="M14" s="13"/>
      <c r="N14" s="13"/>
      <c r="O14" s="13"/>
      <c r="P14" s="8"/>
      <c r="Q14" s="13"/>
      <c r="R14" s="13"/>
      <c r="S14" s="13"/>
      <c r="T14" s="13"/>
      <c r="U14" s="13"/>
      <c r="V14" s="13"/>
      <c r="W14" s="13"/>
      <c r="X14" s="8"/>
      <c r="Y14" s="13"/>
      <c r="Z14" s="13"/>
      <c r="AA14" s="13"/>
      <c r="AB14" s="13"/>
      <c r="AC14" s="13"/>
      <c r="AD14" s="13"/>
      <c r="AE14" s="13"/>
      <c r="AF14" s="8"/>
      <c r="AG14" s="13"/>
      <c r="AH14" s="13"/>
      <c r="AI14" s="13"/>
      <c r="AJ14" s="13"/>
      <c r="AK14" s="13"/>
      <c r="AL14" s="13"/>
      <c r="AM14" s="13"/>
      <c r="AN14" s="6"/>
    </row>
    <row r="15" spans="1:40" ht="15.75">
      <c r="A15" s="59"/>
      <c r="B15" s="1" t="s">
        <v>71</v>
      </c>
      <c r="C15" s="1"/>
      <c r="D15" s="1"/>
      <c r="E15" s="27">
        <f>Tabla1[[#This Row],[Precio por unidad en Moneda Local]]*Tabla1[[#This Row],[Cantidad ]]</f>
        <v>0</v>
      </c>
      <c r="F15" s="40"/>
      <c r="G15" s="41"/>
      <c r="H15" s="8"/>
      <c r="I15" s="31" t="s">
        <v>35</v>
      </c>
      <c r="J15" s="31"/>
      <c r="K15" s="31"/>
      <c r="L15" s="31"/>
      <c r="M15" s="31"/>
      <c r="N15" s="31"/>
      <c r="O15" s="31"/>
      <c r="P15" s="8"/>
      <c r="Q15" s="31" t="s">
        <v>34</v>
      </c>
      <c r="R15" s="31"/>
      <c r="S15" s="31"/>
      <c r="T15" s="31"/>
      <c r="U15" s="31"/>
      <c r="V15" s="31"/>
      <c r="W15" s="31"/>
      <c r="X15" s="8"/>
      <c r="Y15" s="31" t="s">
        <v>33</v>
      </c>
      <c r="Z15" s="31"/>
      <c r="AA15" s="31"/>
      <c r="AB15" s="31"/>
      <c r="AC15" s="31"/>
      <c r="AD15" s="31"/>
      <c r="AE15" s="31"/>
      <c r="AF15" s="8"/>
      <c r="AG15" s="31" t="s">
        <v>32</v>
      </c>
      <c r="AH15" s="31"/>
      <c r="AI15" s="31"/>
      <c r="AJ15" s="31"/>
      <c r="AK15" s="31"/>
      <c r="AL15" s="31"/>
      <c r="AM15" s="31"/>
      <c r="AN15" s="6"/>
    </row>
    <row r="16" spans="1:40" ht="15.75">
      <c r="A16" s="59"/>
      <c r="B16" s="1" t="s">
        <v>67</v>
      </c>
      <c r="C16" s="1"/>
      <c r="D16" s="1"/>
      <c r="E16" s="27">
        <f>Tabla1[[#This Row],[Precio por unidad en Moneda Local]]*Tabla1[[#This Row],[Cantidad ]]</f>
        <v>0</v>
      </c>
      <c r="F16" s="26" t="s">
        <v>65</v>
      </c>
      <c r="G16" s="25">
        <f>G12*G14</f>
        <v>0</v>
      </c>
      <c r="H16" s="8"/>
      <c r="I16" s="12" t="s">
        <v>23</v>
      </c>
      <c r="J16" s="11" t="s">
        <v>27</v>
      </c>
      <c r="K16" s="11" t="s">
        <v>25</v>
      </c>
      <c r="L16" s="11" t="s">
        <v>26</v>
      </c>
      <c r="M16" s="11" t="s">
        <v>25</v>
      </c>
      <c r="N16" s="11" t="s">
        <v>24</v>
      </c>
      <c r="O16" s="10" t="s">
        <v>23</v>
      </c>
      <c r="P16" s="8"/>
      <c r="Q16" s="12" t="s">
        <v>23</v>
      </c>
      <c r="R16" s="11" t="s">
        <v>27</v>
      </c>
      <c r="S16" s="11" t="s">
        <v>25</v>
      </c>
      <c r="T16" s="11" t="s">
        <v>26</v>
      </c>
      <c r="U16" s="11" t="s">
        <v>25</v>
      </c>
      <c r="V16" s="11" t="s">
        <v>24</v>
      </c>
      <c r="W16" s="10" t="s">
        <v>23</v>
      </c>
      <c r="X16" s="8"/>
      <c r="Y16" s="12" t="s">
        <v>23</v>
      </c>
      <c r="Z16" s="11" t="s">
        <v>27</v>
      </c>
      <c r="AA16" s="11" t="s">
        <v>25</v>
      </c>
      <c r="AB16" s="11" t="s">
        <v>26</v>
      </c>
      <c r="AC16" s="11" t="s">
        <v>25</v>
      </c>
      <c r="AD16" s="11" t="s">
        <v>24</v>
      </c>
      <c r="AE16" s="10" t="s">
        <v>23</v>
      </c>
      <c r="AF16" s="8"/>
      <c r="AG16" s="12" t="s">
        <v>23</v>
      </c>
      <c r="AH16" s="11" t="s">
        <v>27</v>
      </c>
      <c r="AI16" s="11" t="s">
        <v>25</v>
      </c>
      <c r="AJ16" s="11" t="s">
        <v>26</v>
      </c>
      <c r="AK16" s="11" t="s">
        <v>25</v>
      </c>
      <c r="AL16" s="11" t="s">
        <v>24</v>
      </c>
      <c r="AM16" s="10" t="s">
        <v>23</v>
      </c>
      <c r="AN16" s="6"/>
    </row>
    <row r="17" spans="1:40" ht="15.75">
      <c r="A17" s="59"/>
      <c r="B17" s="1" t="s">
        <v>75</v>
      </c>
      <c r="C17" s="1"/>
      <c r="D17" s="1"/>
      <c r="E17" s="27">
        <f>Tabla1[[#This Row],[Precio por unidad en Moneda Local]]*Tabla1[[#This Row],[Cantidad ]]</f>
        <v>0</v>
      </c>
      <c r="F17" s="9"/>
      <c r="G17" s="8"/>
      <c r="H17" s="8"/>
      <c r="I17" s="7" t="str">
        <f>IF(AND(YEAR(FebSun1)=TheYear,MONTH(FebSun1)=2),FebSun1, "")</f>
        <v/>
      </c>
      <c r="J17" s="7" t="str">
        <f>IF(AND(YEAR(FebSun1+1)=TheYear,MONTH(FebSun1+1)=2),FebSun1+1, "")</f>
        <v/>
      </c>
      <c r="K17" s="7" t="str">
        <f>IF(AND(YEAR(FebSun1+2)=TheYear,MONTH(FebSun1+2)=2),FebSun1+2, "")</f>
        <v/>
      </c>
      <c r="L17" s="7">
        <f>IF(AND(YEAR(FebSun1+3)=TheYear,MONTH(FebSun1+3)=2),FebSun1+3, "")</f>
        <v>42767</v>
      </c>
      <c r="M17" s="7">
        <f>IF(AND(YEAR(FebSun1+4)=TheYear,MONTH(FebSun1+4)=2),FebSun1+4, "")</f>
        <v>42768</v>
      </c>
      <c r="N17" s="7">
        <f>IF(AND(YEAR(FebSun1+5)=TheYear,MONTH(FebSun1+5)=2),FebSun1+5, "")</f>
        <v>42769</v>
      </c>
      <c r="O17" s="7">
        <f>IF(AND(YEAR(FebSun1+6)=TheYear,MONTH(FebSun1+6)=2),FebSun1+6, "")</f>
        <v>42770</v>
      </c>
      <c r="P17" s="8"/>
      <c r="Q17" s="7" t="str">
        <f>IF(AND(YEAR(MaySun1)=TheYear,MONTH(MaySun1)=5),MaySun1, "")</f>
        <v/>
      </c>
      <c r="R17" s="7">
        <f>IF(AND(YEAR(MaySun1+1)=TheYear,MONTH(MaySun1+1)=5),MaySun1+1, "")</f>
        <v>42856</v>
      </c>
      <c r="S17" s="7">
        <f>IF(AND(YEAR(MaySun1+2)=TheYear,MONTH(MaySun1+2)=5),MaySun1+2, "")</f>
        <v>42857</v>
      </c>
      <c r="T17" s="7">
        <f>IF(AND(YEAR(MaySun1+3)=TheYear,MONTH(MaySun1+3)=5),MaySun1+3, "")</f>
        <v>42858</v>
      </c>
      <c r="U17" s="7">
        <f>IF(AND(YEAR(MaySun1+4)=TheYear,MONTH(MaySun1+4)=5),MaySun1+4, "")</f>
        <v>42859</v>
      </c>
      <c r="V17" s="7">
        <f>IF(AND(YEAR(MaySun1+5)=TheYear,MONTH(MaySun1+5)=5),MaySun1+5, "")</f>
        <v>42860</v>
      </c>
      <c r="W17" s="7">
        <f>IF(AND(YEAR(MaySun1+6)=TheYear,MONTH(MaySun1+6)=5),MaySun1+6, "")</f>
        <v>42861</v>
      </c>
      <c r="X17" s="8"/>
      <c r="Y17" s="7" t="str">
        <f>IF(AND(YEAR(AugSun1)=TheYear,MONTH(AugSun1)=8),AugSun1, "")</f>
        <v/>
      </c>
      <c r="Z17" s="7" t="str">
        <f>IF(AND(YEAR(AugSun1+1)=TheYear,MONTH(AugSun1+1)=8),AugSun1+1, "")</f>
        <v/>
      </c>
      <c r="AA17" s="7">
        <f>IF(AND(YEAR(AugSun1+2)=TheYear,MONTH(AugSun1+2)=8),AugSun1+2, "")</f>
        <v>42948</v>
      </c>
      <c r="AB17" s="7">
        <f>IF(AND(YEAR(AugSun1+3)=TheYear,MONTH(AugSun1+3)=8),AugSun1+3, "")</f>
        <v>42949</v>
      </c>
      <c r="AC17" s="7">
        <f>IF(AND(YEAR(AugSun1+4)=TheYear,MONTH(AugSun1+4)=8),AugSun1+4, "")</f>
        <v>42950</v>
      </c>
      <c r="AD17" s="7">
        <f>IF(AND(YEAR(AugSun1+5)=TheYear,MONTH(AugSun1+5)=8),AugSun1+5, "")</f>
        <v>42951</v>
      </c>
      <c r="AE17" s="7">
        <f>IF(AND(YEAR(AugSun1+6)=TheYear,MONTH(AugSun1+6)=8),AugSun1+6, "")</f>
        <v>42952</v>
      </c>
      <c r="AF17" s="8"/>
      <c r="AG17" s="7" t="str">
        <f>IF(AND(YEAR(NovSun1)=TheYear,MONTH(NovSun1)=11),NovSun1, "")</f>
        <v/>
      </c>
      <c r="AH17" s="7" t="str">
        <f>IF(AND(YEAR(NovSun1+1)=TheYear,MONTH(NovSun1+1)=11),NovSun1+1, "")</f>
        <v/>
      </c>
      <c r="AI17" s="7" t="str">
        <f>IF(AND(YEAR(NovSun1+2)=TheYear,MONTH(NovSun1+2)=11),NovSun1+2, "")</f>
        <v/>
      </c>
      <c r="AJ17" s="7">
        <f>IF(AND(YEAR(NovSun1+3)=TheYear,MONTH(NovSun1+3)=11),NovSun1+3, "")</f>
        <v>43040</v>
      </c>
      <c r="AK17" s="7">
        <f>IF(AND(YEAR(NovSun1+4)=TheYear,MONTH(NovSun1+4)=11),NovSun1+4, "")</f>
        <v>43041</v>
      </c>
      <c r="AL17" s="7">
        <f>IF(AND(YEAR(NovSun1+5)=TheYear,MONTH(NovSun1+5)=11),NovSun1+5, "")</f>
        <v>43042</v>
      </c>
      <c r="AM17" s="7">
        <f>IF(AND(YEAR(NovSun1+6)=TheYear,MONTH(NovSun1+6)=11),NovSun1+6, "")</f>
        <v>43043</v>
      </c>
      <c r="AN17" s="6"/>
    </row>
    <row r="18" spans="1:40" ht="15.75">
      <c r="A18" s="59"/>
      <c r="B18" s="1" t="s">
        <v>70</v>
      </c>
      <c r="C18" s="1"/>
      <c r="D18" s="1"/>
      <c r="E18" s="27">
        <f>Tabla1[[#This Row],[Precio por unidad en Moneda Local]]*Tabla1[[#This Row],[Cantidad ]]</f>
        <v>0</v>
      </c>
      <c r="H18" s="8"/>
      <c r="I18" s="7">
        <f>IF(AND(YEAR(FebSun1+7)=TheYear,MONTH(FebSun1+7)=2),FebSun1+7, "")</f>
        <v>42771</v>
      </c>
      <c r="J18" s="7">
        <f>IF(AND(YEAR(FebSun1+8)=TheYear,MONTH(FebSun1+8)=2),FebSun1+8, "")</f>
        <v>42772</v>
      </c>
      <c r="K18" s="7">
        <f>IF(AND(YEAR(FebSun1+9)=TheYear,MONTH(FebSun1+9)=2),FebSun1+9, "")</f>
        <v>42773</v>
      </c>
      <c r="L18" s="7">
        <f>IF(AND(YEAR(FebSun1+10)=TheYear,MONTH(FebSun1+10)=2),FebSun1+10, "")</f>
        <v>42774</v>
      </c>
      <c r="M18" s="7">
        <f>IF(AND(YEAR(FebSun1+11)=TheYear,MONTH(FebSun1+11)=2),FebSun1+11, "")</f>
        <v>42775</v>
      </c>
      <c r="N18" s="7">
        <f>IF(AND(YEAR(FebSun1+12)=TheYear,MONTH(FebSun1+12)=2),FebSun1+12, "")</f>
        <v>42776</v>
      </c>
      <c r="O18" s="7">
        <f>IF(AND(YEAR(FebSun1+13)=TheYear,MONTH(FebSun1+13)=2),FebSun1+13, "")</f>
        <v>42777</v>
      </c>
      <c r="P18" s="8"/>
      <c r="Q18" s="7">
        <f>IF(AND(YEAR(MaySun1+7)=TheYear,MONTH(MaySun1+7)=5),MaySun1+7, "")</f>
        <v>42862</v>
      </c>
      <c r="R18" s="7">
        <f>IF(AND(YEAR(MaySun1+8)=TheYear,MONTH(MaySun1+8)=5),MaySun1+8, "")</f>
        <v>42863</v>
      </c>
      <c r="S18" s="7">
        <f>IF(AND(YEAR(MaySun1+9)=TheYear,MONTH(MaySun1+9)=5),MaySun1+9, "")</f>
        <v>42864</v>
      </c>
      <c r="T18" s="7">
        <f>IF(AND(YEAR(MaySun1+10)=TheYear,MONTH(MaySun1+10)=5),MaySun1+10, "")</f>
        <v>42865</v>
      </c>
      <c r="U18" s="7">
        <f>IF(AND(YEAR(MaySun1+11)=TheYear,MONTH(MaySun1+11)=5),MaySun1+11, "")</f>
        <v>42866</v>
      </c>
      <c r="V18" s="7">
        <f>IF(AND(YEAR(MaySun1+12)=TheYear,MONTH(MaySun1+12)=5),MaySun1+12, "")</f>
        <v>42867</v>
      </c>
      <c r="W18" s="7">
        <f>IF(AND(YEAR(MaySun1+13)=TheYear,MONTH(MaySun1+13)=5),MaySun1+13, "")</f>
        <v>42868</v>
      </c>
      <c r="X18" s="8"/>
      <c r="Y18" s="7">
        <f>IF(AND(YEAR(AugSun1+7)=TheYear,MONTH(AugSun1+7)=8),AugSun1+7, "")</f>
        <v>42953</v>
      </c>
      <c r="Z18" s="7">
        <f>IF(AND(YEAR(AugSun1+8)=TheYear,MONTH(AugSun1+8)=8),AugSun1+8, "")</f>
        <v>42954</v>
      </c>
      <c r="AA18" s="7">
        <f>IF(AND(YEAR(AugSun1+9)=TheYear,MONTH(AugSun1+9)=8),AugSun1+9, "")</f>
        <v>42955</v>
      </c>
      <c r="AB18" s="7">
        <f>IF(AND(YEAR(AugSun1+10)=TheYear,MONTH(AugSun1+10)=8),AugSun1+10, "")</f>
        <v>42956</v>
      </c>
      <c r="AC18" s="7">
        <f>IF(AND(YEAR(AugSun1+11)=TheYear,MONTH(AugSun1+11)=8),AugSun1+11, "")</f>
        <v>42957</v>
      </c>
      <c r="AD18" s="7">
        <f>IF(AND(YEAR(AugSun1+12)=TheYear,MONTH(AugSun1+12)=8),AugSun1+12, "")</f>
        <v>42958</v>
      </c>
      <c r="AE18" s="7">
        <f>IF(AND(YEAR(AugSun1+13)=TheYear,MONTH(AugSun1+13)=8),AugSun1+13, "")</f>
        <v>42959</v>
      </c>
      <c r="AF18" s="8"/>
      <c r="AG18" s="7">
        <f>IF(AND(YEAR(NovSun1+7)=TheYear,MONTH(NovSun1+7)=11),NovSun1+7, "")</f>
        <v>43044</v>
      </c>
      <c r="AH18" s="7">
        <f>IF(AND(YEAR(NovSun1+8)=TheYear,MONTH(NovSun1+8)=11),NovSun1+8, "")</f>
        <v>43045</v>
      </c>
      <c r="AI18" s="7">
        <f>IF(AND(YEAR(NovSun1+9)=TheYear,MONTH(NovSun1+9)=11),NovSun1+9, "")</f>
        <v>43046</v>
      </c>
      <c r="AJ18" s="7">
        <f>IF(AND(YEAR(NovSun1+10)=TheYear,MONTH(NovSun1+10)=11),NovSun1+10, "")</f>
        <v>43047</v>
      </c>
      <c r="AK18" s="7">
        <f>IF(AND(YEAR(NovSun1+11)=TheYear,MONTH(NovSun1+11)=11),NovSun1+11, "")</f>
        <v>43048</v>
      </c>
      <c r="AL18" s="7">
        <f>IF(AND(YEAR(NovSun1+12)=TheYear,MONTH(NovSun1+12)=11),NovSun1+12, "")</f>
        <v>43049</v>
      </c>
      <c r="AM18" s="7">
        <f>IF(AND(YEAR(NovSun1+13)=TheYear,MONTH(NovSun1+13)=11),NovSun1+13, "")</f>
        <v>43050</v>
      </c>
      <c r="AN18" s="6"/>
    </row>
    <row r="19" spans="1:40" ht="24.75" customHeight="1">
      <c r="A19" s="57" t="s">
        <v>56</v>
      </c>
      <c r="B19" s="1" t="s">
        <v>44</v>
      </c>
      <c r="C19" s="1"/>
      <c r="D19" s="1"/>
      <c r="E19" s="27">
        <f>Tabla1[[#This Row],[Precio por unidad en Moneda Local]]*Tabla1[[#This Row],[Cantidad ]]</f>
        <v>0</v>
      </c>
      <c r="H19" s="8"/>
      <c r="I19" s="7">
        <f>IF(AND(YEAR(FebSun1+14)=TheYear,MONTH(FebSun1+14)=2),FebSun1+14, "")</f>
        <v>42778</v>
      </c>
      <c r="J19" s="7">
        <f>IF(AND(YEAR(FebSun1+15)=TheYear,MONTH(FebSun1+15)=2),FebSun1+15, "")</f>
        <v>42779</v>
      </c>
      <c r="K19" s="7">
        <f>IF(AND(YEAR(FebSun1+16)=TheYear,MONTH(FebSun1+16)=2),FebSun1+16, "")</f>
        <v>42780</v>
      </c>
      <c r="L19" s="7">
        <f>IF(AND(YEAR(FebSun1+17)=TheYear,MONTH(FebSun1+17)=2),FebSun1+17, "")</f>
        <v>42781</v>
      </c>
      <c r="M19" s="7">
        <f>IF(AND(YEAR(FebSun1+18)=TheYear,MONTH(FebSun1+18)=2),FebSun1+18, "")</f>
        <v>42782</v>
      </c>
      <c r="N19" s="7">
        <f>IF(AND(YEAR(FebSun1+19)=TheYear,MONTH(FebSun1+19)=2),FebSun1+19, "")</f>
        <v>42783</v>
      </c>
      <c r="O19" s="7">
        <f>IF(AND(YEAR(FebSun1+20)=TheYear,MONTH(FebSun1+20)=2),FebSun1+20, "")</f>
        <v>42784</v>
      </c>
      <c r="P19" s="8"/>
      <c r="Q19" s="7">
        <f>IF(AND(YEAR(MaySun1+14)=TheYear,MONTH(MaySun1+14)=5),MaySun1+14, "")</f>
        <v>42869</v>
      </c>
      <c r="R19" s="7">
        <f>IF(AND(YEAR(MaySun1+15)=TheYear,MONTH(MaySun1+15)=5),MaySun1+15, "")</f>
        <v>42870</v>
      </c>
      <c r="S19" s="7">
        <f>IF(AND(YEAR(MaySun1+16)=TheYear,MONTH(MaySun1+16)=5),MaySun1+16, "")</f>
        <v>42871</v>
      </c>
      <c r="T19" s="7">
        <f>IF(AND(YEAR(MaySun1+17)=TheYear,MONTH(MaySun1+17)=5),MaySun1+17, "")</f>
        <v>42872</v>
      </c>
      <c r="U19" s="7">
        <f>IF(AND(YEAR(MaySun1+18)=TheYear,MONTH(MaySun1+18)=5),MaySun1+18, "")</f>
        <v>42873</v>
      </c>
      <c r="V19" s="7">
        <f>IF(AND(YEAR(MaySun1+19)=TheYear,MONTH(MaySun1+19)=5),MaySun1+19, "")</f>
        <v>42874</v>
      </c>
      <c r="W19" s="7">
        <f>IF(AND(YEAR(MaySun1+20)=TheYear,MONTH(MaySun1+20)=5),MaySun1+20, "")</f>
        <v>42875</v>
      </c>
      <c r="X19" s="8"/>
      <c r="Y19" s="7">
        <f>IF(AND(YEAR(AugSun1+14)=TheYear,MONTH(AugSun1+14)=8),AugSun1+14, "")</f>
        <v>42960</v>
      </c>
      <c r="Z19" s="7">
        <f>IF(AND(YEAR(AugSun1+15)=TheYear,MONTH(AugSun1+15)=8),AugSun1+15, "")</f>
        <v>42961</v>
      </c>
      <c r="AA19" s="7">
        <f>IF(AND(YEAR(AugSun1+16)=TheYear,MONTH(AugSun1+16)=8),AugSun1+16, "")</f>
        <v>42962</v>
      </c>
      <c r="AB19" s="7">
        <f>IF(AND(YEAR(AugSun1+17)=TheYear,MONTH(AugSun1+17)=8),AugSun1+17, "")</f>
        <v>42963</v>
      </c>
      <c r="AC19" s="7">
        <f>IF(AND(YEAR(AugSun1+18)=TheYear,MONTH(AugSun1+18)=8),AugSun1+18, "")</f>
        <v>42964</v>
      </c>
      <c r="AD19" s="7">
        <f>IF(AND(YEAR(AugSun1+19)=TheYear,MONTH(AugSun1+19)=8),AugSun1+19, "")</f>
        <v>42965</v>
      </c>
      <c r="AE19" s="7">
        <f>IF(AND(YEAR(AugSun1+20)=TheYear,MONTH(AugSun1+20)=8),AugSun1+20, "")</f>
        <v>42966</v>
      </c>
      <c r="AF19" s="8"/>
      <c r="AG19" s="7">
        <f>IF(AND(YEAR(NovSun1+14)=TheYear,MONTH(NovSun1+14)=11),NovSun1+14, "")</f>
        <v>43051</v>
      </c>
      <c r="AH19" s="7">
        <f>IF(AND(YEAR(NovSun1+15)=TheYear,MONTH(NovSun1+15)=11),NovSun1+15, "")</f>
        <v>43052</v>
      </c>
      <c r="AI19" s="7">
        <f>IF(AND(YEAR(NovSun1+16)=TheYear,MONTH(NovSun1+16)=11),NovSun1+16, "")</f>
        <v>43053</v>
      </c>
      <c r="AJ19" s="7">
        <f>IF(AND(YEAR(NovSun1+17)=TheYear,MONTH(NovSun1+17)=11),NovSun1+17, "")</f>
        <v>43054</v>
      </c>
      <c r="AK19" s="7">
        <f>IF(AND(YEAR(NovSun1+18)=TheYear,MONTH(NovSun1+18)=11),NovSun1+18, "")</f>
        <v>43055</v>
      </c>
      <c r="AL19" s="7">
        <f>IF(AND(YEAR(NovSun1+19)=TheYear,MONTH(NovSun1+19)=11),NovSun1+19, "")</f>
        <v>43056</v>
      </c>
      <c r="AM19" s="7">
        <f>IF(AND(YEAR(NovSun1+20)=TheYear,MONTH(NovSun1+20)=11),NovSun1+20, "")</f>
        <v>43057</v>
      </c>
      <c r="AN19" s="6"/>
    </row>
    <row r="20" spans="1:40" ht="23.25">
      <c r="A20" s="60" t="s">
        <v>57</v>
      </c>
      <c r="B20" s="18" t="s">
        <v>45</v>
      </c>
      <c r="C20" s="18"/>
      <c r="D20" s="18"/>
      <c r="E20" s="29">
        <f>Tabla1[[#This Row],[Precio por unidad en Moneda Local]]*Tabla1[[#This Row],[Cantidad ]]</f>
        <v>0</v>
      </c>
      <c r="H20" s="8"/>
      <c r="I20" s="7">
        <f>IF(AND(YEAR(FebSun1+21)=TheYear,MONTH(FebSun1+21)=2),FebSun1+21, "")</f>
        <v>42785</v>
      </c>
      <c r="J20" s="7">
        <f>IF(AND(YEAR(FebSun1+22)=TheYear,MONTH(FebSun1+22)=2),FebSun1+22, "")</f>
        <v>42786</v>
      </c>
      <c r="K20" s="7">
        <f>IF(AND(YEAR(FebSun1+23)=TheYear,MONTH(FebSun1+23)=2),FebSun1+23, "")</f>
        <v>42787</v>
      </c>
      <c r="L20" s="7">
        <f>IF(AND(YEAR(FebSun1+24)=TheYear,MONTH(FebSun1+24)=2),FebSun1+24, "")</f>
        <v>42788</v>
      </c>
      <c r="M20" s="7">
        <f>IF(AND(YEAR(FebSun1+25)=TheYear,MONTH(FebSun1+25)=2),FebSun1+25, "")</f>
        <v>42789</v>
      </c>
      <c r="N20" s="7">
        <f>IF(AND(YEAR(FebSun1+26)=TheYear,MONTH(FebSun1+26)=2),FebSun1+26, "")</f>
        <v>42790</v>
      </c>
      <c r="O20" s="7">
        <f>IF(AND(YEAR(FebSun1+27)=TheYear,MONTH(FebSun1+27)=2),FebSun1+27, "")</f>
        <v>42791</v>
      </c>
      <c r="P20" s="8"/>
      <c r="Q20" s="7">
        <f>IF(AND(YEAR(MaySun1+21)=TheYear,MONTH(MaySun1+21)=5),MaySun1+21, "")</f>
        <v>42876</v>
      </c>
      <c r="R20" s="7">
        <f>IF(AND(YEAR(MaySun1+22)=TheYear,MONTH(MaySun1+22)=5),MaySun1+22, "")</f>
        <v>42877</v>
      </c>
      <c r="S20" s="7">
        <f>IF(AND(YEAR(MaySun1+23)=TheYear,MONTH(MaySun1+23)=5),MaySun1+23, "")</f>
        <v>42878</v>
      </c>
      <c r="T20" s="7">
        <f>IF(AND(YEAR(MaySun1+24)=TheYear,MONTH(MaySun1+24)=5),MaySun1+24, "")</f>
        <v>42879</v>
      </c>
      <c r="U20" s="7">
        <f>IF(AND(YEAR(MaySun1+25)=TheYear,MONTH(MaySun1+25)=5),MaySun1+25, "")</f>
        <v>42880</v>
      </c>
      <c r="V20" s="7">
        <f>IF(AND(YEAR(MaySun1+26)=TheYear,MONTH(MaySun1+26)=5),MaySun1+26, "")</f>
        <v>42881</v>
      </c>
      <c r="W20" s="7">
        <f>IF(AND(YEAR(MaySun1+27)=TheYear,MONTH(MaySun1+27)=5),MaySun1+27, "")</f>
        <v>42882</v>
      </c>
      <c r="X20" s="8"/>
      <c r="Y20" s="7">
        <f>IF(AND(YEAR(AugSun1+21)=TheYear,MONTH(AugSun1+21)=8),AugSun1+21, "")</f>
        <v>42967</v>
      </c>
      <c r="Z20" s="7">
        <f>IF(AND(YEAR(AugSun1+22)=TheYear,MONTH(AugSun1+22)=8),AugSun1+22, "")</f>
        <v>42968</v>
      </c>
      <c r="AA20" s="7">
        <f>IF(AND(YEAR(AugSun1+23)=TheYear,MONTH(AugSun1+23)=8),AugSun1+23, "")</f>
        <v>42969</v>
      </c>
      <c r="AB20" s="7">
        <f>IF(AND(YEAR(AugSun1+24)=TheYear,MONTH(AugSun1+24)=8),AugSun1+24, "")</f>
        <v>42970</v>
      </c>
      <c r="AC20" s="7">
        <f>IF(AND(YEAR(AugSun1+25)=TheYear,MONTH(AugSun1+25)=8),AugSun1+25, "")</f>
        <v>42971</v>
      </c>
      <c r="AD20" s="7">
        <f>IF(AND(YEAR(AugSun1+26)=TheYear,MONTH(AugSun1+26)=8),AugSun1+26, "")</f>
        <v>42972</v>
      </c>
      <c r="AE20" s="7">
        <f>IF(AND(YEAR(AugSun1+27)=TheYear,MONTH(AugSun1+27)=8),AugSun1+27, "")</f>
        <v>42973</v>
      </c>
      <c r="AF20" s="8"/>
      <c r="AG20" s="7">
        <f>IF(AND(YEAR(NovSun1+21)=TheYear,MONTH(NovSun1+21)=11),NovSun1+21, "")</f>
        <v>43058</v>
      </c>
      <c r="AH20" s="7">
        <f>IF(AND(YEAR(NovSun1+22)=TheYear,MONTH(NovSun1+22)=11),NovSun1+22, "")</f>
        <v>43059</v>
      </c>
      <c r="AI20" s="7">
        <f>IF(AND(YEAR(NovSun1+23)=TheYear,MONTH(NovSun1+23)=11),NovSun1+23, "")</f>
        <v>43060</v>
      </c>
      <c r="AJ20" s="7">
        <f>IF(AND(YEAR(NovSun1+24)=TheYear,MONTH(NovSun1+24)=11),NovSun1+24, "")</f>
        <v>43061</v>
      </c>
      <c r="AK20" s="7">
        <f>IF(AND(YEAR(NovSun1+25)=TheYear,MONTH(NovSun1+25)=11),NovSun1+25, "")</f>
        <v>43062</v>
      </c>
      <c r="AL20" s="7">
        <f>IF(AND(YEAR(NovSun1+26)=TheYear,MONTH(NovSun1+26)=11),NovSun1+26, "")</f>
        <v>43063</v>
      </c>
      <c r="AM20" s="7">
        <f>IF(AND(YEAR(NovSun1+27)=TheYear,MONTH(NovSun1+27)=11),NovSun1+27, "")</f>
        <v>43064</v>
      </c>
      <c r="AN20" s="6"/>
    </row>
    <row r="21" spans="1:40" ht="15.75">
      <c r="A21" s="59"/>
      <c r="B21" s="1" t="s">
        <v>46</v>
      </c>
      <c r="C21" s="1"/>
      <c r="D21" s="1"/>
      <c r="E21" s="27">
        <f>Tabla1[[#This Row],[Precio por unidad en Moneda Local]]*Tabla1[[#This Row],[Cantidad ]]</f>
        <v>0</v>
      </c>
      <c r="H21" s="8"/>
      <c r="I21" s="7">
        <f>IF(AND(YEAR(FebSun1+28)=TheYear,MONTH(FebSun1+28)=2),FebSun1+28, "")</f>
        <v>42792</v>
      </c>
      <c r="J21" s="7">
        <f>IF(AND(YEAR(FebSun1+29)=TheYear,MONTH(FebSun1+29)=2),FebSun1+29, "")</f>
        <v>42793</v>
      </c>
      <c r="K21" s="7">
        <f>IF(AND(YEAR(FebSun1+30)=TheYear,MONTH(FebSun1+30)=2),FebSun1+30, "")</f>
        <v>42794</v>
      </c>
      <c r="L21" s="7" t="str">
        <f>IF(AND(YEAR(FebSun1+31)=TheYear,MONTH(FebSun1+31)=2),FebSun1+31, "")</f>
        <v/>
      </c>
      <c r="M21" s="7" t="str">
        <f>IF(AND(YEAR(FebSun1+32)=TheYear,MONTH(FebSun1+32)=2),FebSun1+32, "")</f>
        <v/>
      </c>
      <c r="N21" s="7" t="str">
        <f>IF(AND(YEAR(FebSun1+33)=TheYear,MONTH(FebSun1+33)=2),FebSun1+33, "")</f>
        <v/>
      </c>
      <c r="O21" s="7" t="str">
        <f>IF(AND(YEAR(FebSun1+34)=TheYear,MONTH(FebSun1+34)=2),FebSun1+34, "")</f>
        <v/>
      </c>
      <c r="P21" s="8"/>
      <c r="Q21" s="7">
        <f>IF(AND(YEAR(MaySun1+28)=TheYear,MONTH(MaySun1+28)=5),MaySun1+28, "")</f>
        <v>42883</v>
      </c>
      <c r="R21" s="7">
        <f>IF(AND(YEAR(MaySun1+29)=TheYear,MONTH(MaySun1+29)=5),MaySun1+29, "")</f>
        <v>42884</v>
      </c>
      <c r="S21" s="7">
        <f>IF(AND(YEAR(MaySun1+30)=TheYear,MONTH(MaySun1+30)=5),MaySun1+30, "")</f>
        <v>42885</v>
      </c>
      <c r="T21" s="7">
        <f>IF(AND(YEAR(MaySun1+31)=TheYear,MONTH(MaySun1+31)=5),MaySun1+31, "")</f>
        <v>42886</v>
      </c>
      <c r="U21" s="7" t="str">
        <f>IF(AND(YEAR(MaySun1+32)=TheYear,MONTH(MaySun1+32)=5),MaySun1+32, "")</f>
        <v/>
      </c>
      <c r="V21" s="7" t="str">
        <f>IF(AND(YEAR(MaySun1+33)=TheYear,MONTH(MaySun1+33)=5),MaySun1+33, "")</f>
        <v/>
      </c>
      <c r="W21" s="7" t="str">
        <f>IF(AND(YEAR(MaySun1+34)=TheYear,MONTH(MaySun1+34)=5),MaySun1+34, "")</f>
        <v/>
      </c>
      <c r="X21" s="8"/>
      <c r="Y21" s="7">
        <f>IF(AND(YEAR(AugSun1+28)=TheYear,MONTH(AugSun1+28)=8),AugSun1+28, "")</f>
        <v>42974</v>
      </c>
      <c r="Z21" s="7">
        <f>IF(AND(YEAR(AugSun1+29)=TheYear,MONTH(AugSun1+29)=8),AugSun1+29, "")</f>
        <v>42975</v>
      </c>
      <c r="AA21" s="7">
        <f>IF(AND(YEAR(AugSun1+30)=TheYear,MONTH(AugSun1+30)=8),AugSun1+30, "")</f>
        <v>42976</v>
      </c>
      <c r="AB21" s="7">
        <f>IF(AND(YEAR(AugSun1+31)=TheYear,MONTH(AugSun1+31)=8),AugSun1+31, "")</f>
        <v>42977</v>
      </c>
      <c r="AC21" s="7">
        <f>IF(AND(YEAR(AugSun1+32)=TheYear,MONTH(AugSun1+32)=8),AugSun1+32, "")</f>
        <v>42978</v>
      </c>
      <c r="AD21" s="7" t="str">
        <f>IF(AND(YEAR(AugSun1+33)=TheYear,MONTH(AugSun1+33)=8),AugSun1+33, "")</f>
        <v/>
      </c>
      <c r="AE21" s="7" t="str">
        <f>IF(AND(YEAR(AugSun1+34)=TheYear,MONTH(AugSun1+34)=8),AugSun1+34, "")</f>
        <v/>
      </c>
      <c r="AF21" s="8"/>
      <c r="AG21" s="7">
        <f>IF(AND(YEAR(NovSun1+28)=TheYear,MONTH(NovSun1+28)=11),NovSun1+28, "")</f>
        <v>43065</v>
      </c>
      <c r="AH21" s="7">
        <f>IF(AND(YEAR(NovSun1+29)=TheYear,MONTH(NovSun1+29)=11),NovSun1+29, "")</f>
        <v>43066</v>
      </c>
      <c r="AI21" s="7">
        <f>IF(AND(YEAR(NovSun1+30)=TheYear,MONTH(NovSun1+30)=11),NovSun1+30, "")</f>
        <v>43067</v>
      </c>
      <c r="AJ21" s="7">
        <f>IF(AND(YEAR(NovSun1+31)=TheYear,MONTH(NovSun1+31)=11),NovSun1+31, "")</f>
        <v>43068</v>
      </c>
      <c r="AK21" s="7">
        <f>IF(AND(YEAR(NovSun1+32)=TheYear,MONTH(NovSun1+32)=11),NovSun1+32, "")</f>
        <v>43069</v>
      </c>
      <c r="AL21" s="7" t="str">
        <f>IF(AND(YEAR(NovSun1+33)=TheYear,MONTH(NovSun1+33)=11),NovSun1+33, "")</f>
        <v/>
      </c>
      <c r="AM21" s="7" t="str">
        <f>IF(AND(YEAR(NovSun1+34)=TheYear,MONTH(NovSun1+34)=11),NovSun1+34, "")</f>
        <v/>
      </c>
      <c r="AN21" s="6"/>
    </row>
    <row r="22" spans="1:40" ht="15.75">
      <c r="A22" s="58"/>
      <c r="B22" s="1" t="s">
        <v>47</v>
      </c>
      <c r="C22" s="1"/>
      <c r="D22" s="1"/>
      <c r="E22" s="27">
        <f>Tabla1[[#This Row],[Precio por unidad en Moneda Local]]*Tabla1[[#This Row],[Cantidad ]]</f>
        <v>0</v>
      </c>
      <c r="H22" s="8"/>
      <c r="I22" s="7" t="str">
        <f>IF(AND(YEAR(FebSun1+35)=TheYear,MONTH(FebSun1+35)=2),FebSun1+35, "")</f>
        <v/>
      </c>
      <c r="J22" s="7" t="str">
        <f>IF(AND(YEAR(FebSun1+36)=TheYear,MONTH(FebSun1+36)=2),FebSun1+36, "")</f>
        <v/>
      </c>
      <c r="K22" s="7" t="str">
        <f>IF(AND(YEAR(FebSun1+37)=TheYear,MONTH(FebSun1+37)=2),FebSun1+37, "")</f>
        <v/>
      </c>
      <c r="L22" s="7" t="str">
        <f>IF(AND(YEAR(FebSun1+38)=TheYear,MONTH(FebSun1+38)=2),FebSun1+38, "")</f>
        <v/>
      </c>
      <c r="M22" s="7" t="str">
        <f>IF(AND(YEAR(FebSun1+39)=TheYear,MONTH(FebSun1+39)=2),FebSun1+39, "")</f>
        <v/>
      </c>
      <c r="N22" s="7" t="str">
        <f>IF(AND(YEAR(FebSun1+40)=TheYear,MONTH(FebSun1+40)=2),FebSun1+40, "")</f>
        <v/>
      </c>
      <c r="O22" s="7" t="str">
        <f>IF(AND(YEAR(FebSun1+41)=TheYear,MONTH(FebSun1+41)=2),FebSun1+41, "")</f>
        <v/>
      </c>
      <c r="P22" s="8"/>
      <c r="Q22" s="7" t="str">
        <f>IF(AND(YEAR(MaySun1+35)=TheYear,MONTH(MaySun1+35)=5),MaySun1+35, "")</f>
        <v/>
      </c>
      <c r="R22" s="7" t="str">
        <f>IF(AND(YEAR(MaySun1+36)=TheYear,MONTH(MaySun1+36)=5),MaySun1+36, "")</f>
        <v/>
      </c>
      <c r="S22" s="7" t="str">
        <f>IF(AND(YEAR(MaySun1+37)=TheYear,MONTH(MaySun1+37)=5),MaySun1+37, "")</f>
        <v/>
      </c>
      <c r="T22" s="7" t="str">
        <f>IF(AND(YEAR(MaySun1+38)=TheYear,MONTH(MaySun1+38)=5),MaySun1+38, "")</f>
        <v/>
      </c>
      <c r="U22" s="7" t="str">
        <f>IF(AND(YEAR(MaySun1+39)=TheYear,MONTH(MaySun1+39)=5),MaySun1+39, "")</f>
        <v/>
      </c>
      <c r="V22" s="7" t="str">
        <f>IF(AND(YEAR(MaySun1+40)=TheYear,MONTH(MaySun1+40)=5),MaySun1+40, "")</f>
        <v/>
      </c>
      <c r="W22" s="7" t="str">
        <f>IF(AND(YEAR(MaySun1+41)=TheYear,MONTH(MaySun1+41)=5),MaySun1+41, "")</f>
        <v/>
      </c>
      <c r="X22" s="8"/>
      <c r="Y22" s="7" t="str">
        <f>IF(AND(YEAR(AugSun1+35)=TheYear,MONTH(AugSun1+35)=8),AugSun1+35, "")</f>
        <v/>
      </c>
      <c r="Z22" s="7" t="str">
        <f>IF(AND(YEAR(AugSun1+36)=TheYear,MONTH(AugSun1+36)=8),AugSun1+36, "")</f>
        <v/>
      </c>
      <c r="AA22" s="7" t="str">
        <f>IF(AND(YEAR(AugSun1+37)=TheYear,MONTH(AugSun1+37)=8),AugSun1+37, "")</f>
        <v/>
      </c>
      <c r="AB22" s="7" t="str">
        <f>IF(AND(YEAR(AugSun1+38)=TheYear,MONTH(AugSun1+38)=8),AugSun1+38, "")</f>
        <v/>
      </c>
      <c r="AC22" s="7" t="str">
        <f>IF(AND(YEAR(AugSun1+39)=TheYear,MONTH(AugSun1+39)=8),AugSun1+39, "")</f>
        <v/>
      </c>
      <c r="AD22" s="7" t="str">
        <f>IF(AND(YEAR(AugSun1+40)=TheYear,MONTH(AugSun1+40)=8),AugSun1+40, "")</f>
        <v/>
      </c>
      <c r="AE22" s="7" t="str">
        <f>IF(AND(YEAR(AugSun1+41)=TheYear,MONTH(AugSun1+41)=8),AugSun1+41, "")</f>
        <v/>
      </c>
      <c r="AF22" s="8"/>
      <c r="AG22" s="7" t="str">
        <f>IF(AND(YEAR(NovSun1+35)=TheYear,MONTH(NovSun1+35)=11),NovSun1+35, "")</f>
        <v/>
      </c>
      <c r="AH22" s="7" t="str">
        <f>IF(AND(YEAR(NovSun1+36)=TheYear,MONTH(NovSun1+36)=11),NovSun1+36, "")</f>
        <v/>
      </c>
      <c r="AI22" s="7" t="str">
        <f>IF(AND(YEAR(NovSun1+37)=TheYear,MONTH(NovSun1+37)=11),NovSun1+37, "")</f>
        <v/>
      </c>
      <c r="AJ22" s="7" t="str">
        <f>IF(AND(YEAR(NovSun1+38)=TheYear,MONTH(NovSun1+38)=11),NovSun1+38, "")</f>
        <v/>
      </c>
      <c r="AK22" s="7" t="str">
        <f>IF(AND(YEAR(NovSun1+39)=TheYear,MONTH(NovSun1+39)=11),NovSun1+39, "")</f>
        <v/>
      </c>
      <c r="AL22" s="7" t="str">
        <f>IF(AND(YEAR(NovSun1+40)=TheYear,MONTH(NovSun1+40)=11),NovSun1+40, "")</f>
        <v/>
      </c>
      <c r="AM22" s="7" t="str">
        <f>IF(AND(YEAR(NovSun1+41)=TheYear,MONTH(NovSun1+41)=11),NovSun1+41, "")</f>
        <v/>
      </c>
      <c r="AN22" s="6"/>
    </row>
    <row r="23" spans="1:40" ht="16.5" customHeight="1">
      <c r="A23" s="64" t="s">
        <v>22</v>
      </c>
      <c r="B23" s="55" t="s">
        <v>76</v>
      </c>
      <c r="C23" s="1"/>
      <c r="D23" s="1"/>
      <c r="E23" s="27">
        <f>Tabla1[[#This Row],[Precio por unidad en Moneda Local]]*Tabla1[[#This Row],[Cantidad ]]</f>
        <v>0</v>
      </c>
      <c r="F23" s="9"/>
      <c r="G23" s="8"/>
      <c r="H23" s="8"/>
      <c r="I23" s="13"/>
      <c r="J23" s="13"/>
      <c r="K23" s="13"/>
      <c r="L23" s="13"/>
      <c r="M23" s="13"/>
      <c r="N23" s="13"/>
      <c r="O23" s="13"/>
      <c r="P23" s="8"/>
      <c r="Q23" s="13"/>
      <c r="R23" s="13"/>
      <c r="S23" s="13"/>
      <c r="T23" s="13"/>
      <c r="U23" s="13"/>
      <c r="V23" s="13"/>
      <c r="W23" s="13"/>
      <c r="X23" s="8"/>
      <c r="Y23" s="13"/>
      <c r="Z23" s="13"/>
      <c r="AA23" s="13"/>
      <c r="AB23" s="13"/>
      <c r="AC23" s="13"/>
      <c r="AD23" s="13"/>
      <c r="AE23" s="13"/>
      <c r="AF23" s="8"/>
      <c r="AG23" s="13"/>
      <c r="AH23" s="13"/>
      <c r="AI23" s="13"/>
      <c r="AJ23" s="13"/>
      <c r="AK23" s="13"/>
      <c r="AL23" s="13"/>
      <c r="AM23" s="13"/>
      <c r="AN23" s="6"/>
    </row>
    <row r="24" spans="1:40" ht="15.75">
      <c r="A24" s="57" t="s">
        <v>54</v>
      </c>
      <c r="B24" s="63" t="s">
        <v>72</v>
      </c>
      <c r="C24" s="1"/>
      <c r="D24" s="1"/>
      <c r="E24" s="27">
        <f>Tabla1[[#This Row],[Precio por unidad en Moneda Local]]*Tabla1[[#This Row],[Cantidad ]]</f>
        <v>0</v>
      </c>
      <c r="F24" s="9"/>
      <c r="G24" s="8"/>
      <c r="H24" s="8"/>
      <c r="I24" s="31" t="s">
        <v>31</v>
      </c>
      <c r="J24" s="31"/>
      <c r="K24" s="31"/>
      <c r="L24" s="31"/>
      <c r="M24" s="31"/>
      <c r="N24" s="31"/>
      <c r="O24" s="31"/>
      <c r="P24" s="8"/>
      <c r="Q24" s="31" t="s">
        <v>30</v>
      </c>
      <c r="R24" s="31"/>
      <c r="S24" s="31"/>
      <c r="T24" s="31"/>
      <c r="U24" s="31"/>
      <c r="V24" s="31"/>
      <c r="W24" s="31"/>
      <c r="X24" s="8"/>
      <c r="Y24" s="31" t="s">
        <v>29</v>
      </c>
      <c r="Z24" s="31"/>
      <c r="AA24" s="31"/>
      <c r="AB24" s="31"/>
      <c r="AC24" s="31"/>
      <c r="AD24" s="31"/>
      <c r="AE24" s="31"/>
      <c r="AF24" s="8"/>
      <c r="AG24" s="31" t="s">
        <v>28</v>
      </c>
      <c r="AH24" s="31"/>
      <c r="AI24" s="31"/>
      <c r="AJ24" s="31"/>
      <c r="AK24" s="31"/>
      <c r="AL24" s="31"/>
      <c r="AM24" s="31"/>
      <c r="AN24" s="6"/>
    </row>
    <row r="25" spans="1:40" ht="16.5" customHeight="1">
      <c r="A25" s="61" t="s">
        <v>55</v>
      </c>
      <c r="B25" s="56" t="s">
        <v>73</v>
      </c>
      <c r="C25" s="1"/>
      <c r="D25" s="1"/>
      <c r="E25" s="27">
        <f>Tabla1[[#This Row],[Precio por unidad en Moneda Local]]*Tabla1[[#This Row],[Cantidad ]]</f>
        <v>0</v>
      </c>
      <c r="F25" s="9"/>
      <c r="G25" s="8"/>
      <c r="H25" s="8"/>
      <c r="I25" s="12" t="s">
        <v>23</v>
      </c>
      <c r="J25" s="11" t="s">
        <v>27</v>
      </c>
      <c r="K25" s="11" t="s">
        <v>25</v>
      </c>
      <c r="L25" s="11" t="s">
        <v>26</v>
      </c>
      <c r="M25" s="11" t="s">
        <v>25</v>
      </c>
      <c r="N25" s="11" t="s">
        <v>24</v>
      </c>
      <c r="O25" s="10" t="s">
        <v>23</v>
      </c>
      <c r="P25" s="8"/>
      <c r="Q25" s="12" t="s">
        <v>23</v>
      </c>
      <c r="R25" s="11" t="s">
        <v>27</v>
      </c>
      <c r="S25" s="11" t="s">
        <v>25</v>
      </c>
      <c r="T25" s="11" t="s">
        <v>26</v>
      </c>
      <c r="U25" s="11" t="s">
        <v>25</v>
      </c>
      <c r="V25" s="11" t="s">
        <v>24</v>
      </c>
      <c r="W25" s="10" t="s">
        <v>23</v>
      </c>
      <c r="X25" s="8"/>
      <c r="Y25" s="12" t="s">
        <v>23</v>
      </c>
      <c r="Z25" s="11" t="s">
        <v>27</v>
      </c>
      <c r="AA25" s="11" t="s">
        <v>25</v>
      </c>
      <c r="AB25" s="11" t="s">
        <v>26</v>
      </c>
      <c r="AC25" s="11" t="s">
        <v>25</v>
      </c>
      <c r="AD25" s="11" t="s">
        <v>24</v>
      </c>
      <c r="AE25" s="10" t="s">
        <v>23</v>
      </c>
      <c r="AF25" s="8"/>
      <c r="AG25" s="12"/>
      <c r="AH25" s="11" t="s">
        <v>27</v>
      </c>
      <c r="AI25" s="11" t="s">
        <v>25</v>
      </c>
      <c r="AJ25" s="11" t="s">
        <v>26</v>
      </c>
      <c r="AK25" s="11" t="s">
        <v>25</v>
      </c>
      <c r="AL25" s="11" t="s">
        <v>24</v>
      </c>
      <c r="AM25" s="10" t="s">
        <v>23</v>
      </c>
      <c r="AN25" s="6"/>
    </row>
    <row r="26" spans="1:40" ht="15" customHeight="1">
      <c r="A26" s="59"/>
      <c r="B26" s="55" t="s">
        <v>74</v>
      </c>
      <c r="C26" s="1"/>
      <c r="D26" s="1"/>
      <c r="E26" s="27">
        <f>Tabla1[[#This Row],[Precio por unidad en Moneda Local]]*Tabla1[[#This Row],[Cantidad ]]</f>
        <v>0</v>
      </c>
      <c r="F26" s="9"/>
      <c r="G26" s="8"/>
      <c r="H26" s="8"/>
      <c r="I26" s="7" t="str">
        <f>IF(AND(YEAR(MarSun1)=TheYear,MONTH(MarSun1)=3),MarSun1, "")</f>
        <v/>
      </c>
      <c r="J26" s="7" t="str">
        <f>IF(AND(YEAR(MarSun1+1)=TheYear,MONTH(MarSun1+1)=3),MarSun1+1, "")</f>
        <v/>
      </c>
      <c r="K26" s="7" t="str">
        <f>IF(AND(YEAR(MarSun1+2)=TheYear,MONTH(MarSun1+2)=3),MarSun1+2, "")</f>
        <v/>
      </c>
      <c r="L26" s="7">
        <f>IF(AND(YEAR(MarSun1+3)=TheYear,MONTH(MarSun1+3)=3),MarSun1+3, "")</f>
        <v>42795</v>
      </c>
      <c r="M26" s="7">
        <f>IF(AND(YEAR(MarSun1+4)=TheYear,MONTH(MarSun1+4)=3),MarSun1+4, "")</f>
        <v>42796</v>
      </c>
      <c r="N26" s="7">
        <f>IF(AND(YEAR(MarSun1+5)=TheYear,MONTH(MarSun1+5)=3),MarSun1+5, "")</f>
        <v>42797</v>
      </c>
      <c r="O26" s="7">
        <f>IF(AND(YEAR(MarSun1+6)=TheYear,MONTH(MarSun1+6)=3),MarSun1+6, "")</f>
        <v>42798</v>
      </c>
      <c r="P26" s="8"/>
      <c r="Q26" s="7" t="str">
        <f>IF(AND(YEAR(calendar)=TheYear,MONTH(calendar)=6),calendar, "")</f>
        <v/>
      </c>
      <c r="R26" s="7" t="str">
        <f>IF(AND(YEAR(calendar+1)=TheYear,MONTH(calendar+1)=6),calendar+1, "")</f>
        <v/>
      </c>
      <c r="S26" s="7" t="str">
        <f>IF(AND(YEAR(calendar+2)=TheYear,MONTH(calendar+2)=6),calendar+2, "")</f>
        <v/>
      </c>
      <c r="T26" s="7" t="str">
        <f>IF(AND(YEAR(calendar+3)=TheYear,MONTH(calendar+3)=6),calendar+3, "")</f>
        <v/>
      </c>
      <c r="U26" s="7">
        <f>IF(AND(YEAR(calendar+4)=TheYear,MONTH(calendar+4)=6),calendar+4, "")</f>
        <v>42887</v>
      </c>
      <c r="V26" s="7">
        <f>IF(AND(YEAR(calendar+5)=TheYear,MONTH(calendar+5)=6),calendar+5, "")</f>
        <v>42888</v>
      </c>
      <c r="W26" s="7">
        <f>IF(AND(YEAR(calendar+6)=TheYear,MONTH(calendar+6)=6),calendar+6, "")</f>
        <v>42889</v>
      </c>
      <c r="X26" s="8"/>
      <c r="Y26" s="7" t="str">
        <f>IF(AND(YEAR(SepSun1)=TheYear,MONTH(SepSun1)=9),SepSun1, "")</f>
        <v/>
      </c>
      <c r="Z26" s="7" t="str">
        <f>IF(AND(YEAR(SepSun1+1)=TheYear,MONTH(SepSun1+1)=9),SepSun1+1, "")</f>
        <v/>
      </c>
      <c r="AA26" s="7" t="str">
        <f>IF(AND(YEAR(SepSun1+2)=TheYear,MONTH(SepSun1+2)=9),SepSun1+2, "")</f>
        <v/>
      </c>
      <c r="AB26" s="7" t="str">
        <f>IF(AND(YEAR(SepSun1+3)=TheYear,MONTH(SepSun1+3)=9),SepSun1+3, "")</f>
        <v/>
      </c>
      <c r="AC26" s="7" t="str">
        <f>IF(AND(YEAR(SepSun1+4)=TheYear,MONTH(SepSun1+4)=9),SepSun1+4, "")</f>
        <v/>
      </c>
      <c r="AD26" s="7">
        <v>1</v>
      </c>
      <c r="AE26" s="7">
        <v>2</v>
      </c>
      <c r="AF26" s="8"/>
      <c r="AG26" s="7" t="str">
        <f>IF(AND(YEAR(DecSun1)=TheYear,MONTH(DecSun1)=12),DecSun1, "")</f>
        <v/>
      </c>
      <c r="AH26" s="7" t="str">
        <f>IF(AND(YEAR(DecSun1+1)=TheYear,MONTH(DecSun1+1)=12),DecSun1+1, "")</f>
        <v/>
      </c>
      <c r="AI26" s="7" t="str">
        <f>IF(AND(YEAR(DecSun1+2)=TheYear,MONTH(DecSun1+2)=12),DecSun1+2, "")</f>
        <v/>
      </c>
      <c r="AJ26" s="7" t="str">
        <f>IF(AND(YEAR(DecSun1+3)=TheYear,MONTH(DecSun1+3)=12),DecSun1+3, "")</f>
        <v/>
      </c>
      <c r="AK26" s="7" t="str">
        <f>IF(AND(YEAR(DecSun1+4)=TheYear,MONTH(DecSun1+4)=12),DecSun1+4, "")</f>
        <v/>
      </c>
      <c r="AL26" s="7">
        <f>IF(AND(YEAR(DecSun1+5)=TheYear,MONTH(DecSun1+5)=12),DecSun1+5, "")</f>
        <v>43070</v>
      </c>
      <c r="AM26" s="7">
        <f>IF(AND(YEAR(DecSun1+6)=TheYear,MONTH(DecSun1+6)=12),DecSun1+6, "")</f>
        <v>43071</v>
      </c>
      <c r="AN26" s="6"/>
    </row>
    <row r="27" spans="1:40" ht="15" customHeight="1">
      <c r="A27" s="57" t="s">
        <v>2</v>
      </c>
      <c r="B27" s="1" t="s">
        <v>52</v>
      </c>
      <c r="C27" s="1"/>
      <c r="D27" s="1"/>
      <c r="E27" s="27">
        <f>Tabla1[[#This Row],[Precio por unidad en Moneda Local]]*Tabla1[[#This Row],[Cantidad ]]</f>
        <v>0</v>
      </c>
      <c r="F27" s="9"/>
      <c r="G27" s="8"/>
      <c r="H27" s="8"/>
      <c r="I27" s="7">
        <f>IF(AND(YEAR(MarSun1+7)=TheYear,MONTH(MarSun1+7)=3),MarSun1+7, "")</f>
        <v>42799</v>
      </c>
      <c r="J27" s="7">
        <f>IF(AND(YEAR(MarSun1+8)=TheYear,MONTH(MarSun1+8)=3),MarSun1+8, "")</f>
        <v>42800</v>
      </c>
      <c r="K27" s="7">
        <f>IF(AND(YEAR(MarSun1+9)=TheYear,MONTH(MarSun1+9)=3),MarSun1+9, "")</f>
        <v>42801</v>
      </c>
      <c r="L27" s="7">
        <f>IF(AND(YEAR(MarSun1+10)=TheYear,MONTH(MarSun1+10)=3),MarSun1+10, "")</f>
        <v>42802</v>
      </c>
      <c r="M27" s="7">
        <f>IF(AND(YEAR(MarSun1+11)=TheYear,MONTH(MarSun1+11)=3),MarSun1+11, "")</f>
        <v>42803</v>
      </c>
      <c r="N27" s="7">
        <f>IF(AND(YEAR(MarSun1+12)=TheYear,MONTH(MarSun1+12)=3),MarSun1+12, "")</f>
        <v>42804</v>
      </c>
      <c r="O27" s="7">
        <f>IF(AND(YEAR(MarSun1+13)=TheYear,MONTH(MarSun1+13)=3),MarSun1+13, "")</f>
        <v>42805</v>
      </c>
      <c r="P27" s="8"/>
      <c r="Q27" s="7">
        <f>IF(AND(YEAR(calendar+7)=TheYear,MONTH(calendar+7)=6),calendar+7, "")</f>
        <v>42890</v>
      </c>
      <c r="R27" s="7">
        <f>IF(AND(YEAR(calendar+8)=TheYear,MONTH(calendar+8)=6),calendar+8, "")</f>
        <v>42891</v>
      </c>
      <c r="S27" s="7">
        <f>IF(AND(YEAR(calendar+9)=TheYear,MONTH(calendar+9)=6),calendar+9, "")</f>
        <v>42892</v>
      </c>
      <c r="T27" s="7">
        <f>IF(AND(YEAR(calendar+10)=TheYear,MONTH(calendar+10)=6),calendar+10, "")</f>
        <v>42893</v>
      </c>
      <c r="U27" s="7">
        <f>IF(AND(YEAR(calendar+11)=TheYear,MONTH(calendar+11)=6),calendar+11, "")</f>
        <v>42894</v>
      </c>
      <c r="V27" s="7">
        <f>IF(AND(YEAR(calendar+12)=TheYear,MONTH(calendar+12)=6),calendar+12, "")</f>
        <v>42895</v>
      </c>
      <c r="W27" s="7">
        <f>IF(AND(YEAR(calendar+13)=TheYear,MONTH(calendar+13)=6),calendar+13, "")</f>
        <v>42896</v>
      </c>
      <c r="X27" s="8"/>
      <c r="Y27" s="7">
        <v>3</v>
      </c>
      <c r="Z27" s="7">
        <v>4</v>
      </c>
      <c r="AA27" s="7">
        <v>5</v>
      </c>
      <c r="AB27" s="7">
        <v>6</v>
      </c>
      <c r="AC27" s="7">
        <v>7</v>
      </c>
      <c r="AD27" s="7">
        <v>8</v>
      </c>
      <c r="AE27" s="7">
        <v>9</v>
      </c>
      <c r="AF27" s="8"/>
      <c r="AG27" s="7">
        <f>IF(AND(YEAR(DecSun1+7)=TheYear,MONTH(DecSun1+7)=12),DecSun1+7, "")</f>
        <v>43072</v>
      </c>
      <c r="AH27" s="7">
        <f>IF(AND(YEAR(DecSun1+8)=TheYear,MONTH(DecSun1+8)=12),DecSun1+8, "")</f>
        <v>43073</v>
      </c>
      <c r="AI27" s="7">
        <f>IF(AND(YEAR(DecSun1+9)=TheYear,MONTH(DecSun1+9)=12),DecSun1+9, "")</f>
        <v>43074</v>
      </c>
      <c r="AJ27" s="7">
        <f>IF(AND(YEAR(DecSun1+10)=TheYear,MONTH(DecSun1+10)=12),DecSun1+10, "")</f>
        <v>43075</v>
      </c>
      <c r="AK27" s="7">
        <f>IF(AND(YEAR(DecSun1+11)=TheYear,MONTH(DecSun1+11)=12),DecSun1+11, "")</f>
        <v>43076</v>
      </c>
      <c r="AL27" s="7">
        <f>IF(AND(YEAR(DecSun1+12)=TheYear,MONTH(DecSun1+12)=12),DecSun1+12, "")</f>
        <v>43077</v>
      </c>
      <c r="AM27" s="7">
        <f>IF(AND(YEAR(DecSun1+13)=TheYear,MONTH(DecSun1+13)=12),DecSun1+13, "")</f>
        <v>43078</v>
      </c>
      <c r="AN27" s="6"/>
    </row>
    <row r="28" spans="1:40" ht="15" customHeight="1">
      <c r="A28" s="59"/>
      <c r="B28" s="1" t="s">
        <v>53</v>
      </c>
      <c r="C28" s="1"/>
      <c r="D28" s="1"/>
      <c r="E28" s="27">
        <f>Tabla1[[#This Row],[Precio por unidad en Moneda Local]]*Tabla1[[#This Row],[Cantidad ]]</f>
        <v>0</v>
      </c>
      <c r="F28" s="9"/>
      <c r="G28" s="8"/>
      <c r="H28" s="8"/>
      <c r="I28" s="7">
        <f>IF(AND(YEAR(MarSun1+14)=TheYear,MONTH(MarSun1+14)=3),MarSun1+14, "")</f>
        <v>42806</v>
      </c>
      <c r="J28" s="7">
        <f>IF(AND(YEAR(MarSun1+15)=TheYear,MONTH(MarSun1+15)=3),MarSun1+15, "")</f>
        <v>42807</v>
      </c>
      <c r="K28" s="7">
        <f>IF(AND(YEAR(MarSun1+16)=TheYear,MONTH(MarSun1+16)=3),MarSun1+16, "")</f>
        <v>42808</v>
      </c>
      <c r="L28" s="7">
        <f>IF(AND(YEAR(MarSun1+17)=TheYear,MONTH(MarSun1+17)=3),MarSun1+17, "")</f>
        <v>42809</v>
      </c>
      <c r="M28" s="7">
        <f>IF(AND(YEAR(MarSun1+18)=TheYear,MONTH(MarSun1+18)=3),MarSun1+18, "")</f>
        <v>42810</v>
      </c>
      <c r="N28" s="7">
        <f>IF(AND(YEAR(MarSun1+19)=TheYear,MONTH(MarSun1+19)=3),MarSun1+19, "")</f>
        <v>42811</v>
      </c>
      <c r="O28" s="7">
        <f>IF(AND(YEAR(MarSun1+20)=TheYear,MONTH(MarSun1+20)=3),MarSun1+20, "")</f>
        <v>42812</v>
      </c>
      <c r="P28" s="8"/>
      <c r="Q28" s="7">
        <f>IF(AND(YEAR(calendar+14)=TheYear,MONTH(calendar+14)=6),calendar+14, "")</f>
        <v>42897</v>
      </c>
      <c r="R28" s="7">
        <f>IF(AND(YEAR(calendar+15)=TheYear,MONTH(calendar+15)=6),calendar+15, "")</f>
        <v>42898</v>
      </c>
      <c r="S28" s="7">
        <f>IF(AND(YEAR(calendar+16)=TheYear,MONTH(calendar+16)=6),calendar+16, "")</f>
        <v>42899</v>
      </c>
      <c r="T28" s="7">
        <f>IF(AND(YEAR(calendar+17)=TheYear,MONTH(calendar+17)=6),calendar+17, "")</f>
        <v>42900</v>
      </c>
      <c r="U28" s="7">
        <f>IF(AND(YEAR(calendar+18)=TheYear,MONTH(calendar+18)=6),calendar+18, "")</f>
        <v>42901</v>
      </c>
      <c r="V28" s="7">
        <f>IF(AND(YEAR(calendar+19)=TheYear,MONTH(calendar+19)=6),calendar+19, "")</f>
        <v>42902</v>
      </c>
      <c r="W28" s="7">
        <f>IF(AND(YEAR(calendar+20)=TheYear,MONTH(calendar+20)=6),calendar+20, "")</f>
        <v>42903</v>
      </c>
      <c r="X28" s="8"/>
      <c r="Y28" s="7">
        <v>10</v>
      </c>
      <c r="Z28" s="7">
        <v>11</v>
      </c>
      <c r="AA28" s="7">
        <v>12</v>
      </c>
      <c r="AB28" s="7">
        <v>13</v>
      </c>
      <c r="AC28" s="7">
        <v>14</v>
      </c>
      <c r="AD28" s="7">
        <v>15</v>
      </c>
      <c r="AE28" s="7">
        <v>16</v>
      </c>
      <c r="AF28" s="8"/>
      <c r="AG28" s="7">
        <f>IF(AND(YEAR(DecSun1+14)=TheYear,MONTH(DecSun1+14)=12),DecSun1+14, "")</f>
        <v>43079</v>
      </c>
      <c r="AH28" s="7">
        <f>IF(AND(YEAR(DecSun1+15)=TheYear,MONTH(DecSun1+15)=12),DecSun1+15, "")</f>
        <v>43080</v>
      </c>
      <c r="AI28" s="7">
        <f>IF(AND(YEAR(DecSun1+16)=TheYear,MONTH(DecSun1+16)=12),DecSun1+16, "")</f>
        <v>43081</v>
      </c>
      <c r="AJ28" s="7">
        <f>IF(AND(YEAR(DecSun1+17)=TheYear,MONTH(DecSun1+17)=12),DecSun1+17, "")</f>
        <v>43082</v>
      </c>
      <c r="AK28" s="7">
        <f>IF(AND(YEAR(DecSun1+18)=TheYear,MONTH(DecSun1+18)=12),DecSun1+18, "")</f>
        <v>43083</v>
      </c>
      <c r="AL28" s="7">
        <f>IF(AND(YEAR(DecSun1+19)=TheYear,MONTH(DecSun1+19)=12),DecSun1+19, "")</f>
        <v>43084</v>
      </c>
      <c r="AM28" s="7">
        <f>IF(AND(YEAR(DecSun1+20)=TheYear,MONTH(DecSun1+20)=12),DecSun1+20, "")</f>
        <v>43085</v>
      </c>
      <c r="AN28" s="6"/>
    </row>
    <row r="29" spans="1:40" ht="15" customHeight="1">
      <c r="A29" s="59"/>
      <c r="B29" s="1" t="s">
        <v>48</v>
      </c>
      <c r="C29" s="1"/>
      <c r="D29" s="1"/>
      <c r="E29" s="27">
        <f>Tabla1[[#This Row],[Precio por unidad en Moneda Local]]*Tabla1[[#This Row],[Cantidad ]]</f>
        <v>0</v>
      </c>
      <c r="I29" s="7">
        <f>IF(AND(YEAR(MarSun1+21)=TheYear,MONTH(MarSun1+21)=3),MarSun1+21, "")</f>
        <v>42813</v>
      </c>
      <c r="J29" s="7">
        <f>IF(AND(YEAR(MarSun1+22)=TheYear,MONTH(MarSun1+22)=3),MarSun1+22, "")</f>
        <v>42814</v>
      </c>
      <c r="K29" s="7">
        <f>IF(AND(YEAR(MarSun1+23)=TheYear,MONTH(MarSun1+23)=3),MarSun1+23, "")</f>
        <v>42815</v>
      </c>
      <c r="L29" s="7">
        <f>IF(AND(YEAR(MarSun1+24)=TheYear,MONTH(MarSun1+24)=3),MarSun1+24, "")</f>
        <v>42816</v>
      </c>
      <c r="M29" s="7">
        <f>IF(AND(YEAR(MarSun1+25)=TheYear,MONTH(MarSun1+25)=3),MarSun1+25, "")</f>
        <v>42817</v>
      </c>
      <c r="N29" s="7">
        <f>IF(AND(YEAR(MarSun1+26)=TheYear,MONTH(MarSun1+26)=3),MarSun1+26, "")</f>
        <v>42818</v>
      </c>
      <c r="O29" s="7">
        <f>IF(AND(YEAR(MarSun1+27)=TheYear,MONTH(MarSun1+27)=3),MarSun1+27, "")</f>
        <v>42819</v>
      </c>
      <c r="P29" s="8"/>
      <c r="Q29" s="7">
        <f>IF(AND(YEAR(calendar+21)=TheYear,MONTH(calendar+21)=6),calendar+21, "")</f>
        <v>42904</v>
      </c>
      <c r="R29" s="7">
        <f>IF(AND(YEAR(calendar+22)=TheYear,MONTH(calendar+22)=6),calendar+22, "")</f>
        <v>42905</v>
      </c>
      <c r="S29" s="7">
        <f>IF(AND(YEAR(calendar+23)=TheYear,MONTH(calendar+23)=6),calendar+23, "")</f>
        <v>42906</v>
      </c>
      <c r="T29" s="7">
        <f>IF(AND(YEAR(calendar+24)=TheYear,MONTH(calendar+24)=6),calendar+24, "")</f>
        <v>42907</v>
      </c>
      <c r="U29" s="7">
        <f>IF(AND(YEAR(calendar+25)=TheYear,MONTH(calendar+25)=6),calendar+25, "")</f>
        <v>42908</v>
      </c>
      <c r="V29" s="7">
        <f>IF(AND(YEAR(calendar+26)=TheYear,MONTH(calendar+26)=6),calendar+26, "")</f>
        <v>42909</v>
      </c>
      <c r="W29" s="7">
        <f>IF(AND(YEAR(calendar+27)=TheYear,MONTH(calendar+27)=6),calendar+27, "")</f>
        <v>42910</v>
      </c>
      <c r="X29" s="8"/>
      <c r="Y29" s="7">
        <v>17</v>
      </c>
      <c r="Z29" s="7">
        <v>18</v>
      </c>
      <c r="AA29" s="7">
        <v>19</v>
      </c>
      <c r="AB29" s="7">
        <v>20</v>
      </c>
      <c r="AC29" s="7">
        <v>21</v>
      </c>
      <c r="AD29" s="7">
        <v>22</v>
      </c>
      <c r="AE29" s="7">
        <v>23</v>
      </c>
      <c r="AF29" s="8"/>
      <c r="AG29" s="7">
        <f>IF(AND(YEAR(DecSun1+21)=TheYear,MONTH(DecSun1+21)=12),DecSun1+21, "")</f>
        <v>43086</v>
      </c>
      <c r="AH29" s="7">
        <f>IF(AND(YEAR(DecSun1+22)=TheYear,MONTH(DecSun1+22)=12),DecSun1+22, "")</f>
        <v>43087</v>
      </c>
      <c r="AI29" s="7">
        <f>IF(AND(YEAR(DecSun1+23)=TheYear,MONTH(DecSun1+23)=12),DecSun1+23, "")</f>
        <v>43088</v>
      </c>
      <c r="AJ29" s="7">
        <f>IF(AND(YEAR(DecSun1+24)=TheYear,MONTH(DecSun1+24)=12),DecSun1+24, "")</f>
        <v>43089</v>
      </c>
      <c r="AK29" s="7">
        <f>IF(AND(YEAR(DecSun1+25)=TheYear,MONTH(DecSun1+25)=12),DecSun1+25, "")</f>
        <v>43090</v>
      </c>
      <c r="AL29" s="7">
        <f>IF(AND(YEAR(DecSun1+26)=TheYear,MONTH(DecSun1+26)=12),DecSun1+26, "")</f>
        <v>43091</v>
      </c>
      <c r="AM29" s="7">
        <f>IF(AND(YEAR(DecSun1+27)=TheYear,MONTH(DecSun1+27)=12),DecSun1+27, "")</f>
        <v>43092</v>
      </c>
      <c r="AN29" s="6"/>
    </row>
    <row r="30" spans="1:40" ht="15.75">
      <c r="A30" s="57" t="s">
        <v>7</v>
      </c>
      <c r="B30" s="1" t="s">
        <v>11</v>
      </c>
      <c r="C30" s="1"/>
      <c r="D30" s="1"/>
      <c r="E30" s="27">
        <f>Tabla1[[#This Row],[Precio por unidad en Moneda Local]]*Tabla1[[#This Row],[Cantidad ]]</f>
        <v>0</v>
      </c>
      <c r="I30" s="7">
        <f>IF(AND(YEAR(MarSun1+28)=TheYear,MONTH(MarSun1+28)=3),MarSun1+28, "")</f>
        <v>42820</v>
      </c>
      <c r="J30" s="7">
        <f>IF(AND(YEAR(MarSun1+29)=TheYear,MONTH(MarSun1+29)=3),MarSun1+29, "")</f>
        <v>42821</v>
      </c>
      <c r="K30" s="7">
        <f>IF(AND(YEAR(MarSun1+30)=TheYear,MONTH(MarSun1+30)=3),MarSun1+30, "")</f>
        <v>42822</v>
      </c>
      <c r="L30" s="7">
        <f>IF(AND(YEAR(MarSun1+31)=TheYear,MONTH(MarSun1+31)=3),MarSun1+31, "")</f>
        <v>42823</v>
      </c>
      <c r="M30" s="7">
        <f>IF(AND(YEAR(MarSun1+32)=TheYear,MONTH(MarSun1+32)=3),MarSun1+32, "")</f>
        <v>42824</v>
      </c>
      <c r="N30" s="7">
        <f>IF(AND(YEAR(MarSun1+33)=TheYear,MONTH(MarSun1+33)=3),MarSun1+33, "")</f>
        <v>42825</v>
      </c>
      <c r="O30" s="7" t="str">
        <f>IF(AND(YEAR(MarSun1+34)=TheYear,MONTH(MarSun1+34)=3),MarSun1+34, "")</f>
        <v/>
      </c>
      <c r="P30" s="8"/>
      <c r="Q30" s="7">
        <f>IF(AND(YEAR(calendar+28)=TheYear,MONTH(calendar+28)=6),calendar+28, "")</f>
        <v>42911</v>
      </c>
      <c r="R30" s="7">
        <f>IF(AND(YEAR(calendar+29)=TheYear,MONTH(calendar+29)=6),calendar+29, "")</f>
        <v>42912</v>
      </c>
      <c r="S30" s="7">
        <f>IF(AND(YEAR(calendar+30)=TheYear,MONTH(calendar+30)=6),calendar+30, "")</f>
        <v>42913</v>
      </c>
      <c r="T30" s="7">
        <f>IF(AND(YEAR(calendar+31)=TheYear,MONTH(calendar+31)=6),calendar+31, "")</f>
        <v>42914</v>
      </c>
      <c r="U30" s="7">
        <f>IF(AND(YEAR(calendar+32)=TheYear,MONTH(calendar+32)=6),calendar+32, "")</f>
        <v>42915</v>
      </c>
      <c r="V30" s="7">
        <f>IF(AND(YEAR(calendar+33)=TheYear,MONTH(calendar+33)=6),calendar+33, "")</f>
        <v>42916</v>
      </c>
      <c r="W30" s="7" t="str">
        <f>IF(AND(YEAR(calendar+34)=TheYear,MONTH(calendar+34)=6),calendar+34, "")</f>
        <v/>
      </c>
      <c r="X30" s="8"/>
      <c r="Y30" s="7">
        <v>24</v>
      </c>
      <c r="Z30" s="7">
        <v>25</v>
      </c>
      <c r="AA30" s="7">
        <v>26</v>
      </c>
      <c r="AB30" s="7">
        <v>27</v>
      </c>
      <c r="AC30" s="7">
        <v>28</v>
      </c>
      <c r="AD30" s="7">
        <v>29</v>
      </c>
      <c r="AE30" s="7">
        <v>30</v>
      </c>
      <c r="AF30" s="8"/>
      <c r="AG30" s="7">
        <f>IF(AND(YEAR(DecSun1+28)=TheYear,MONTH(DecSun1+28)=12),DecSun1+28, "")</f>
        <v>43093</v>
      </c>
      <c r="AH30" s="7">
        <f>IF(AND(YEAR(DecSun1+29)=TheYear,MONTH(DecSun1+29)=12),DecSun1+29, "")</f>
        <v>43094</v>
      </c>
      <c r="AI30" s="7">
        <f>IF(AND(YEAR(DecSun1+30)=TheYear,MONTH(DecSun1+30)=12),DecSun1+30, "")</f>
        <v>43095</v>
      </c>
      <c r="AJ30" s="7">
        <f>IF(AND(YEAR(DecSun1+31)=TheYear,MONTH(DecSun1+31)=12),DecSun1+31, "")</f>
        <v>43096</v>
      </c>
      <c r="AK30" s="7">
        <f>IF(AND(YEAR(DecSun1+32)=TheYear,MONTH(DecSun1+32)=12),DecSun1+32, "")</f>
        <v>43097</v>
      </c>
      <c r="AL30" s="7">
        <f>IF(AND(YEAR(DecSun1+33)=TheYear,MONTH(DecSun1+33)=12),DecSun1+33, "")</f>
        <v>43098</v>
      </c>
      <c r="AM30" s="7">
        <f>IF(AND(YEAR(DecSun1+34)=TheYear,MONTH(DecSun1+34)=12),DecSun1+34, "")</f>
        <v>43099</v>
      </c>
      <c r="AN30" s="6"/>
    </row>
    <row r="31" spans="1:40" ht="15.75">
      <c r="A31" s="57" t="s">
        <v>5</v>
      </c>
      <c r="B31" s="1" t="s">
        <v>12</v>
      </c>
      <c r="C31" s="1"/>
      <c r="D31" s="1"/>
      <c r="E31" s="27">
        <f>Tabla1[[#This Row],[Precio por unidad en Moneda Local]]*Tabla1[[#This Row],[Cantidad ]]</f>
        <v>0</v>
      </c>
      <c r="I31" s="7" t="str">
        <f>IF(AND(YEAR(MarSun1+35)=TheYear,MONTH(MarSun1+35)=3),MarSun1+35, "")</f>
        <v/>
      </c>
      <c r="J31" s="7" t="str">
        <f>IF(AND(YEAR(MarSun1+36)=TheYear,MONTH(MarSun1+36)=3),MarSun1+36, "")</f>
        <v/>
      </c>
      <c r="K31" s="7" t="str">
        <f>IF(AND(YEAR(MarSun1+37)=TheYear,MONTH(MarSun1+37)=3),MarSun1+37, "")</f>
        <v/>
      </c>
      <c r="L31" s="7" t="str">
        <f>IF(AND(YEAR(MarSun1+38)=TheYear,MONTH(MarSun1+38)=3),MarSun1+38, "")</f>
        <v/>
      </c>
      <c r="M31" s="7" t="str">
        <f>IF(AND(YEAR(MarSun1+39)=TheYear,MONTH(MarSun1+39)=3),MarSun1+39, "")</f>
        <v/>
      </c>
      <c r="N31" s="7" t="str">
        <f>IF(AND(YEAR(MarSun1+40)=TheYear,MONTH(MarSun1+40)=3),MarSun1+40, "")</f>
        <v/>
      </c>
      <c r="O31" s="7" t="str">
        <f>IF(AND(YEAR(MarSun1+41)=TheYear,MONTH(MarSun1+41)=3),MarSun1+41, "")</f>
        <v/>
      </c>
      <c r="P31" s="8"/>
      <c r="Q31" s="7" t="str">
        <f>IF(AND(YEAR(calendar+35)=TheYear,MONTH(calendar+35)=6),calendar+35, "")</f>
        <v/>
      </c>
      <c r="R31" s="7" t="str">
        <f>IF(AND(YEAR(calendar+36)=TheYear,MONTH(calendar+36)=6),calendar+36, "")</f>
        <v/>
      </c>
      <c r="S31" s="7" t="str">
        <f>IF(AND(YEAR(calendar+37)=TheYear,MONTH(calendar+37)=6),calendar+37, "")</f>
        <v/>
      </c>
      <c r="T31" s="7" t="str">
        <f>IF(AND(YEAR(calendar+38)=TheYear,MONTH(calendar+38)=6),calendar+38, "")</f>
        <v/>
      </c>
      <c r="U31" s="7" t="str">
        <f>IF(AND(YEAR(calendar+39)=TheYear,MONTH(calendar+39)=6),calendar+39, "")</f>
        <v/>
      </c>
      <c r="V31" s="7" t="str">
        <f>IF(AND(YEAR(calendar+40)=TheYear,MONTH(calendar+40)=6),calendar+40, "")</f>
        <v/>
      </c>
      <c r="W31" s="7" t="str">
        <f>IF(AND(YEAR(calendar+41)=TheYear,MONTH(calendar+41)=6),calendar+41, "")</f>
        <v/>
      </c>
      <c r="X31" s="8"/>
      <c r="Y31" s="7" t="str">
        <f>IF(AND(YEAR(SepSun1+35)=TheYear,MONTH(SepSun1+35)=9),SepSun1+35, "")</f>
        <v/>
      </c>
      <c r="Z31" s="7" t="str">
        <f>IF(AND(YEAR(SepSun1+36)=TheYear,MONTH(SepSun1+36)=9),SepSun1+36, "")</f>
        <v/>
      </c>
      <c r="AA31" s="7" t="str">
        <f>IF(AND(YEAR(SepSun1+37)=TheYear,MONTH(SepSun1+37)=9),SepSun1+37, "")</f>
        <v/>
      </c>
      <c r="AB31" s="7" t="str">
        <f>IF(AND(YEAR(SepSun1+38)=TheYear,MONTH(SepSun1+38)=9),SepSun1+38, "")</f>
        <v/>
      </c>
      <c r="AC31" s="7" t="str">
        <f>IF(AND(YEAR(SepSun1+39)=TheYear,MONTH(SepSun1+39)=9),SepSun1+39, "")</f>
        <v/>
      </c>
      <c r="AD31" s="7" t="str">
        <f>IF(AND(YEAR(SepSun1+40)=TheYear,MONTH(SepSun1+40)=9),SepSun1+40, "")</f>
        <v/>
      </c>
      <c r="AE31" s="7" t="str">
        <f>IF(AND(YEAR(SepSun1+41)=TheYear,MONTH(SepSun1+41)=9),SepSun1+41, "")</f>
        <v/>
      </c>
      <c r="AF31" s="8"/>
      <c r="AG31" s="7">
        <f>IF(AND(YEAR(DecSun1+35)=TheYear,MONTH(DecSun1+35)=12),DecSun1+35, "")</f>
        <v>43100</v>
      </c>
      <c r="AH31" s="7" t="str">
        <f>IF(AND(YEAR(DecSun1+36)=TheYear,MONTH(DecSun1+36)=12),DecSun1+36, "")</f>
        <v/>
      </c>
      <c r="AI31" s="7" t="str">
        <f>IF(AND(YEAR(DecSun1+37)=TheYear,MONTH(DecSun1+37)=12),DecSun1+37, "")</f>
        <v/>
      </c>
      <c r="AJ31" s="7" t="str">
        <f>IF(AND(YEAR(DecSun1+38)=TheYear,MONTH(DecSun1+38)=12),DecSun1+38, "")</f>
        <v/>
      </c>
      <c r="AK31" s="7" t="str">
        <f>IF(AND(YEAR(DecSun1+39)=TheYear,MONTH(DecSun1+39)=12),DecSun1+39, "")</f>
        <v/>
      </c>
      <c r="AL31" s="7" t="str">
        <f>IF(AND(YEAR(DecSun1+40)=TheYear,MONTH(DecSun1+40)=12),DecSun1+40, "")</f>
        <v/>
      </c>
      <c r="AM31" s="7" t="str">
        <f>IF(AND(YEAR(DecSun1+41)=TheYear,MONTH(DecSun1+41)=12),DecSun1+41, "")</f>
        <v/>
      </c>
      <c r="AN31" s="6"/>
    </row>
    <row r="32" spans="1:40" ht="16.5" thickBot="1">
      <c r="A32" s="58"/>
      <c r="B32" s="1" t="s">
        <v>13</v>
      </c>
      <c r="C32" s="1"/>
      <c r="D32" s="1"/>
      <c r="E32" s="27">
        <f>Tabla1[[#This Row],[Precio por unidad en Moneda Local]]*Tabla1[[#This Row],[Cantidad ]]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"/>
    </row>
    <row r="33" spans="1:5" ht="15.75" thickTop="1">
      <c r="A33" s="59"/>
      <c r="B33" s="1" t="s">
        <v>14</v>
      </c>
      <c r="C33" s="1"/>
      <c r="D33" s="1"/>
      <c r="E33" s="27">
        <f>Tabla1[[#This Row],[Precio por unidad en Moneda Local]]*Tabla1[[#This Row],[Cantidad ]]</f>
        <v>0</v>
      </c>
    </row>
    <row r="34" spans="1:5">
      <c r="A34" s="59"/>
      <c r="B34" s="1" t="s">
        <v>59</v>
      </c>
      <c r="C34" s="1"/>
      <c r="D34" s="1"/>
      <c r="E34" s="27">
        <f>Tabla1[[#This Row],[Precio por unidad en Moneda Local]]*Tabla1[[#This Row],[Cantidad ]]</f>
        <v>0</v>
      </c>
    </row>
    <row r="35" spans="1:5">
      <c r="A35" s="58"/>
      <c r="B35" s="1" t="s">
        <v>49</v>
      </c>
      <c r="C35" s="1"/>
      <c r="D35" s="1"/>
      <c r="E35" s="27">
        <f>Tabla1[[#This Row],[Precio por unidad en Moneda Local]]*Tabla1[[#This Row],[Cantidad ]]</f>
        <v>0</v>
      </c>
    </row>
    <row r="36" spans="1:5">
      <c r="A36" s="57" t="s">
        <v>15</v>
      </c>
      <c r="B36" s="1" t="s">
        <v>16</v>
      </c>
      <c r="C36" s="1"/>
      <c r="D36" s="1"/>
      <c r="E36" s="27">
        <f>Tabla1[[#This Row],[Precio por unidad en Moneda Local]]*Tabla1[[#This Row],[Cantidad ]]</f>
        <v>0</v>
      </c>
    </row>
    <row r="37" spans="1:5">
      <c r="A37" s="57" t="s">
        <v>8</v>
      </c>
      <c r="B37" s="1" t="s">
        <v>17</v>
      </c>
      <c r="C37" s="1"/>
      <c r="D37" s="1"/>
      <c r="E37" s="27">
        <f>Tabla1[[#This Row],[Precio por unidad en Moneda Local]]*Tabla1[[#This Row],[Cantidad ]]</f>
        <v>0</v>
      </c>
    </row>
    <row r="38" spans="1:5">
      <c r="A38" s="57" t="s">
        <v>9</v>
      </c>
      <c r="B38" s="1" t="s">
        <v>19</v>
      </c>
      <c r="C38" s="1"/>
      <c r="D38" s="1"/>
      <c r="E38" s="27">
        <f>Tabla1[[#This Row],[Precio por unidad en Moneda Local]]*Tabla1[[#This Row],[Cantidad ]]</f>
        <v>0</v>
      </c>
    </row>
    <row r="39" spans="1:5">
      <c r="A39" s="58"/>
      <c r="B39" s="1" t="s">
        <v>18</v>
      </c>
      <c r="C39" s="1"/>
      <c r="D39" s="1"/>
      <c r="E39" s="27">
        <f>Tabla1[[#This Row],[Precio por unidad en Moneda Local]]*Tabla1[[#This Row],[Cantidad ]]</f>
        <v>0</v>
      </c>
    </row>
    <row r="40" spans="1:5">
      <c r="A40" s="58"/>
      <c r="B40" s="1" t="s">
        <v>20</v>
      </c>
      <c r="C40" s="1"/>
      <c r="D40" s="1"/>
      <c r="E40" s="27">
        <f>Tabla1[[#This Row],[Precio por unidad en Moneda Local]]*Tabla1[[#This Row],[Cantidad ]]</f>
        <v>0</v>
      </c>
    </row>
    <row r="41" spans="1:5">
      <c r="A41" s="59"/>
      <c r="B41" s="1" t="s">
        <v>49</v>
      </c>
      <c r="C41" s="1"/>
      <c r="D41" s="1"/>
      <c r="E41" s="27">
        <f>Tabla1[[#This Row],[Precio por unidad en Moneda Local]]*Tabla1[[#This Row],[Cantidad ]]</f>
        <v>0</v>
      </c>
    </row>
    <row r="42" spans="1:5" ht="18" customHeight="1">
      <c r="A42" s="62" t="s">
        <v>50</v>
      </c>
      <c r="B42" s="19" t="s">
        <v>51</v>
      </c>
      <c r="C42" s="1"/>
      <c r="D42" s="1"/>
      <c r="E42" s="27">
        <f>Tabla1[[#This Row],[Precio por unidad en Moneda Local]]*Tabla1[[#This Row],[Cantidad ]]</f>
        <v>0</v>
      </c>
    </row>
    <row r="43" spans="1:5" ht="32.1" customHeight="1">
      <c r="A43" s="20" t="s">
        <v>58</v>
      </c>
      <c r="B43" s="21"/>
      <c r="C43" s="21"/>
      <c r="D43" s="21"/>
      <c r="E43" s="30">
        <f>SUBTOTAL(109,E3:E42)</f>
        <v>0</v>
      </c>
    </row>
  </sheetData>
  <sheetProtection selectLockedCells="1" selectUnlockedCells="1"/>
  <dataConsolidate/>
  <mergeCells count="19">
    <mergeCell ref="F14:F15"/>
    <mergeCell ref="G14:G15"/>
    <mergeCell ref="F12:F13"/>
    <mergeCell ref="G12:G13"/>
    <mergeCell ref="F8:H9"/>
    <mergeCell ref="F3:AN4"/>
    <mergeCell ref="I6:O6"/>
    <mergeCell ref="Q6:W6"/>
    <mergeCell ref="Y6:AE6"/>
    <mergeCell ref="AG6:AM6"/>
    <mergeCell ref="F6:H7"/>
    <mergeCell ref="Q15:W15"/>
    <mergeCell ref="Y15:AE15"/>
    <mergeCell ref="AG15:AM15"/>
    <mergeCell ref="I24:O24"/>
    <mergeCell ref="Q24:W24"/>
    <mergeCell ref="Y24:AE24"/>
    <mergeCell ref="AG24:AM24"/>
    <mergeCell ref="I15:O15"/>
  </mergeCells>
  <conditionalFormatting sqref="I6:AM28">
    <cfRule type="containsErrors" dxfId="15" priority="3">
      <formula>ISERROR(I6)</formula>
    </cfRule>
    <cfRule type="containsBlanks" dxfId="14" priority="4">
      <formula>LEN(TRIM(I6))=0</formula>
    </cfRule>
  </conditionalFormatting>
  <conditionalFormatting sqref="I24:AM31">
    <cfRule type="containsErrors" dxfId="3" priority="1">
      <formula>ISERROR(I24)</formula>
    </cfRule>
    <cfRule type="containsBlanks" dxfId="2" priority="2">
      <formula>LEN(TRIM(I24))=0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F3:AN4">
      <formula1>YearLookup</formula1>
    </dataValidation>
  </dataValidations>
  <hyperlinks>
    <hyperlink ref="F8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2"/>
  <sheetViews>
    <sheetView showGridLines="0" workbookViewId="0">
      <selection activeCell="AJ34" sqref="AJ34"/>
    </sheetView>
  </sheetViews>
  <sheetFormatPr defaultColWidth="10.140625" defaultRowHeight="15.75"/>
  <cols>
    <col min="1" max="1" width="1" style="2" customWidth="1"/>
    <col min="2" max="2" width="2.28515625" style="2" customWidth="1"/>
    <col min="3" max="9" width="5" style="2" customWidth="1"/>
    <col min="10" max="10" width="2.28515625" style="2" customWidth="1"/>
    <col min="11" max="17" width="5" style="2" customWidth="1"/>
    <col min="18" max="18" width="2.28515625" style="2" customWidth="1"/>
    <col min="19" max="25" width="5" style="2" customWidth="1"/>
    <col min="26" max="26" width="2.28515625" style="2" customWidth="1"/>
    <col min="27" max="33" width="5" style="2" customWidth="1"/>
    <col min="34" max="34" width="2.28515625" style="2" customWidth="1"/>
    <col min="35" max="16384" width="10.140625" style="2"/>
  </cols>
  <sheetData>
    <row r="1" spans="2:34" ht="3" customHeight="1" thickBot="1"/>
    <row r="2" spans="2:34" ht="27" customHeight="1" thickTop="1">
      <c r="B2" s="48">
        <v>2017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</row>
    <row r="3" spans="2:34" ht="9" customHeight="1" thickBo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3"/>
    </row>
    <row r="4" spans="2:34" ht="14.25" customHeight="1" thickTop="1"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5"/>
    </row>
    <row r="5" spans="2:34">
      <c r="B5" s="9"/>
      <c r="C5" s="54" t="s">
        <v>39</v>
      </c>
      <c r="D5" s="54"/>
      <c r="E5" s="54"/>
      <c r="F5" s="54"/>
      <c r="G5" s="54"/>
      <c r="H5" s="54"/>
      <c r="I5" s="54"/>
      <c r="J5" s="8"/>
      <c r="K5" s="54" t="s">
        <v>38</v>
      </c>
      <c r="L5" s="54"/>
      <c r="M5" s="54"/>
      <c r="N5" s="54"/>
      <c r="O5" s="54"/>
      <c r="P5" s="54"/>
      <c r="Q5" s="54"/>
      <c r="R5" s="8"/>
      <c r="S5" s="54" t="s">
        <v>37</v>
      </c>
      <c r="T5" s="54"/>
      <c r="U5" s="54"/>
      <c r="V5" s="54"/>
      <c r="W5" s="54"/>
      <c r="X5" s="54"/>
      <c r="Y5" s="54"/>
      <c r="Z5" s="8"/>
      <c r="AA5" s="54" t="s">
        <v>36</v>
      </c>
      <c r="AB5" s="54"/>
      <c r="AC5" s="54"/>
      <c r="AD5" s="54"/>
      <c r="AE5" s="54"/>
      <c r="AF5" s="54"/>
      <c r="AG5" s="54"/>
      <c r="AH5" s="6"/>
    </row>
    <row r="6" spans="2:34">
      <c r="B6" s="9"/>
      <c r="C6" s="12" t="s">
        <v>23</v>
      </c>
      <c r="D6" s="11" t="s">
        <v>27</v>
      </c>
      <c r="E6" s="11" t="s">
        <v>25</v>
      </c>
      <c r="F6" s="11" t="s">
        <v>26</v>
      </c>
      <c r="G6" s="11" t="s">
        <v>25</v>
      </c>
      <c r="H6" s="11" t="s">
        <v>24</v>
      </c>
      <c r="I6" s="10" t="s">
        <v>23</v>
      </c>
      <c r="J6" s="8"/>
      <c r="K6" s="12" t="s">
        <v>23</v>
      </c>
      <c r="L6" s="11" t="s">
        <v>27</v>
      </c>
      <c r="M6" s="11" t="s">
        <v>25</v>
      </c>
      <c r="N6" s="11" t="s">
        <v>26</v>
      </c>
      <c r="O6" s="11" t="s">
        <v>25</v>
      </c>
      <c r="P6" s="11" t="s">
        <v>24</v>
      </c>
      <c r="Q6" s="10" t="s">
        <v>23</v>
      </c>
      <c r="R6" s="8"/>
      <c r="S6" s="12" t="s">
        <v>23</v>
      </c>
      <c r="T6" s="11" t="s">
        <v>27</v>
      </c>
      <c r="U6" s="11" t="s">
        <v>25</v>
      </c>
      <c r="V6" s="11" t="s">
        <v>26</v>
      </c>
      <c r="W6" s="11" t="s">
        <v>25</v>
      </c>
      <c r="X6" s="11" t="s">
        <v>24</v>
      </c>
      <c r="Y6" s="10" t="s">
        <v>23</v>
      </c>
      <c r="Z6" s="8"/>
      <c r="AA6" s="12" t="s">
        <v>23</v>
      </c>
      <c r="AB6" s="11" t="s">
        <v>27</v>
      </c>
      <c r="AC6" s="11" t="s">
        <v>25</v>
      </c>
      <c r="AD6" s="11" t="s">
        <v>26</v>
      </c>
      <c r="AE6" s="11" t="s">
        <v>25</v>
      </c>
      <c r="AF6" s="11" t="s">
        <v>24</v>
      </c>
      <c r="AG6" s="10" t="s">
        <v>23</v>
      </c>
      <c r="AH6" s="6"/>
    </row>
    <row r="7" spans="2:34" ht="14.25" customHeight="1">
      <c r="B7" s="9"/>
      <c r="C7" s="7">
        <f>IF(AND(YEAR(JanSun1)=TheYear,MONTH(JanSun1)=1),JanSun1, "")</f>
        <v>42736</v>
      </c>
      <c r="D7" s="7">
        <f>IF(AND(YEAR(JanSun1+1)=TheYear,MONTH(JanSun1+1)=1),JanSun1+1, "")</f>
        <v>42737</v>
      </c>
      <c r="E7" s="7">
        <f>IF(AND(YEAR(JanSun1+2)=TheYear,MONTH(JanSun1+2)=1),JanSun1+2, "")</f>
        <v>42738</v>
      </c>
      <c r="F7" s="7">
        <f>IF(AND(YEAR(JanSun1+3)=TheYear,MONTH(JanSun1+3)=1),JanSun1+3, "")</f>
        <v>42739</v>
      </c>
      <c r="G7" s="7">
        <f>IF(AND(YEAR(JanSun1+4)=TheYear,MONTH(JanSun1+4)=1),JanSun1+4, "")</f>
        <v>42740</v>
      </c>
      <c r="H7" s="7">
        <f>IF(AND(YEAR(JanSun1+5)=TheYear,MONTH(JanSun1+5)=1),JanSun1+5, "")</f>
        <v>42741</v>
      </c>
      <c r="I7" s="7">
        <f>IF(AND(YEAR(JanSun1+6)=TheYear,MONTH(JanSun1+6)=1),JanSun1+6, "")</f>
        <v>42742</v>
      </c>
      <c r="J7" s="8"/>
      <c r="K7" s="7" t="str">
        <f>IF(AND(YEAR(AprSun1)=TheYear,MONTH(AprSun1)=4),AprSun1, "")</f>
        <v/>
      </c>
      <c r="L7" s="7" t="str">
        <f>IF(AND(YEAR(AprSun1+1)=TheYear,MONTH(AprSun1+1)=4),AprSun1+1, "")</f>
        <v/>
      </c>
      <c r="M7" s="7" t="str">
        <f>IF(AND(YEAR(AprSun1+2)=TheYear,MONTH(AprSun1+2)=4),AprSun1+2, "")</f>
        <v/>
      </c>
      <c r="N7" s="7" t="str">
        <f>IF(AND(YEAR(AprSun1+3)=TheYear,MONTH(AprSun1+3)=4),AprSun1+3, "")</f>
        <v/>
      </c>
      <c r="O7" s="7" t="str">
        <f>IF(AND(YEAR(AprSun1+4)=TheYear,MONTH(AprSun1+4)=4),AprSun1+4, "")</f>
        <v/>
      </c>
      <c r="P7" s="7" t="str">
        <f>IF(AND(YEAR(AprSun1+5)=TheYear,MONTH(AprSun1+5)=4),AprSun1+5, "")</f>
        <v/>
      </c>
      <c r="Q7" s="7">
        <f>IF(AND(YEAR(AprSun1+6)=TheYear,MONTH(AprSun1+6)=4),AprSun1+6, "")</f>
        <v>42826</v>
      </c>
      <c r="R7" s="8"/>
      <c r="S7" s="7" t="str">
        <f>IF(AND(YEAR(JulSun1)=TheYear,MONTH(JulSun1)=7),JulSun1, "")</f>
        <v/>
      </c>
      <c r="T7" s="7" t="str">
        <f>IF(AND(YEAR(JulSun1+1)=TheYear,MONTH(JulSun1+1)=7),JulSun1+1, "")</f>
        <v/>
      </c>
      <c r="U7" s="7" t="str">
        <f>IF(AND(YEAR(JulSun1+2)=TheYear,MONTH(JulSun1+2)=7),JulSun1+2, "")</f>
        <v/>
      </c>
      <c r="V7" s="7" t="str">
        <f>IF(AND(YEAR(JulSun1+3)=TheYear,MONTH(JulSun1+3)=7),JulSun1+3, "")</f>
        <v/>
      </c>
      <c r="W7" s="7" t="str">
        <f>IF(AND(YEAR(JulSun1+4)=TheYear,MONTH(JulSun1+4)=7),JulSun1+4, "")</f>
        <v/>
      </c>
      <c r="X7" s="7" t="str">
        <f>IF(AND(YEAR(JulSun1+5)=TheYear,MONTH(JulSun1+5)=7),JulSun1+5, "")</f>
        <v/>
      </c>
      <c r="Y7" s="7">
        <f>IF(AND(YEAR(JulSun1+6)=TheYear,MONTH(JulSun1+6)=7),JulSun1+6, "")</f>
        <v>42917</v>
      </c>
      <c r="Z7" s="8"/>
      <c r="AA7" s="7">
        <f>IF(AND(YEAR(OctSun1)=TheYear,MONTH(OctSun1)=10),OctSun1, "")</f>
        <v>43009</v>
      </c>
      <c r="AB7" s="7">
        <f>IF(AND(YEAR(OctSun1+1)=TheYear,MONTH(OctSun1+1)=10),OctSun1+1, "")</f>
        <v>43010</v>
      </c>
      <c r="AC7" s="7">
        <f>IF(AND(YEAR(OctSun1+2)=TheYear,MONTH(OctSun1+2)=10),OctSun1+2, "")</f>
        <v>43011</v>
      </c>
      <c r="AD7" s="7">
        <f>IF(AND(YEAR(OctSun1+3)=TheYear,MONTH(OctSun1+3)=10),OctSun1+3, "")</f>
        <v>43012</v>
      </c>
      <c r="AE7" s="7">
        <f>IF(AND(YEAR(OctSun1+4)=TheYear,MONTH(OctSun1+4)=10),OctSun1+4, "")</f>
        <v>43013</v>
      </c>
      <c r="AF7" s="7">
        <f>IF(AND(YEAR(OctSun1+5)=TheYear,MONTH(OctSun1+5)=10),OctSun1+5, "")</f>
        <v>43014</v>
      </c>
      <c r="AG7" s="7">
        <f>IF(AND(YEAR(OctSun1+6)=TheYear,MONTH(OctSun1+6)=10),OctSun1+6, "")</f>
        <v>43015</v>
      </c>
      <c r="AH7" s="6"/>
    </row>
    <row r="8" spans="2:34">
      <c r="B8" s="9"/>
      <c r="C8" s="7">
        <f>IF(AND(YEAR(JanSun1+7)=TheYear,MONTH(JanSun1+7)=1),JanSun1+7, "")</f>
        <v>42743</v>
      </c>
      <c r="D8" s="7">
        <f>IF(AND(YEAR(JanSun1+8)=TheYear,MONTH(JanSun1+8)=1),JanSun1+8, "")</f>
        <v>42744</v>
      </c>
      <c r="E8" s="7">
        <f>IF(AND(YEAR(JanSun1+9)=TheYear,MONTH(JanSun1+9)=1),JanSun1+9, "")</f>
        <v>42745</v>
      </c>
      <c r="F8" s="7">
        <f>IF(AND(YEAR(JanSun1+10)=TheYear,MONTH(JanSun1+10)=1),JanSun1+10, "")</f>
        <v>42746</v>
      </c>
      <c r="G8" s="7">
        <f>IF(AND(YEAR(JanSun1+11)=TheYear,MONTH(JanSun1+11)=1),JanSun1+11, "")</f>
        <v>42747</v>
      </c>
      <c r="H8" s="7">
        <f>IF(AND(YEAR(JanSun1+12)=TheYear,MONTH(JanSun1+12)=1),JanSun1+12, "")</f>
        <v>42748</v>
      </c>
      <c r="I8" s="7">
        <f>IF(AND(YEAR(JanSun1+13)=TheYear,MONTH(JanSun1+13)=1),JanSun1+13, "")</f>
        <v>42749</v>
      </c>
      <c r="J8" s="8"/>
      <c r="K8" s="7">
        <f>IF(AND(YEAR(AprSun1+7)=TheYear,MONTH(AprSun1+7)=4),AprSun1+7, "")</f>
        <v>42827</v>
      </c>
      <c r="L8" s="7">
        <f>IF(AND(YEAR(AprSun1+8)=TheYear,MONTH(AprSun1+8)=4),AprSun1+8, "")</f>
        <v>42828</v>
      </c>
      <c r="M8" s="7">
        <f>IF(AND(YEAR(AprSun1+9)=TheYear,MONTH(AprSun1+9)=4),AprSun1+9, "")</f>
        <v>42829</v>
      </c>
      <c r="N8" s="7">
        <f>IF(AND(YEAR(AprSun1+10)=TheYear,MONTH(AprSun1+10)=4),AprSun1+10, "")</f>
        <v>42830</v>
      </c>
      <c r="O8" s="7">
        <f>IF(AND(YEAR(AprSun1+11)=TheYear,MONTH(AprSun1+11)=4),AprSun1+11, "")</f>
        <v>42831</v>
      </c>
      <c r="P8" s="7">
        <f>IF(AND(YEAR(AprSun1+12)=TheYear,MONTH(AprSun1+12)=4),AprSun1+12, "")</f>
        <v>42832</v>
      </c>
      <c r="Q8" s="7">
        <f>IF(AND(YEAR(AprSun1+13)=TheYear,MONTH(AprSun1+13)=4),AprSun1+13, "")</f>
        <v>42833</v>
      </c>
      <c r="R8" s="8"/>
      <c r="S8" s="7">
        <f>IF(AND(YEAR(JulSun1+7)=TheYear,MONTH(JulSun1+7)=7),JulSun1+7, "")</f>
        <v>42918</v>
      </c>
      <c r="T8" s="7">
        <f>IF(AND(YEAR(JulSun1+8)=TheYear,MONTH(JulSun1+8)=7),JulSun1+8, "")</f>
        <v>42919</v>
      </c>
      <c r="U8" s="7">
        <f>IF(AND(YEAR(JulSun1+9)=TheYear,MONTH(JulSun1+9)=7),JulSun1+9, "")</f>
        <v>42920</v>
      </c>
      <c r="V8" s="7">
        <f>IF(AND(YEAR(JulSun1+10)=TheYear,MONTH(JulSun1+10)=7),JulSun1+10, "")</f>
        <v>42921</v>
      </c>
      <c r="W8" s="7">
        <f>IF(AND(YEAR(JulSun1+11)=TheYear,MONTH(JulSun1+11)=7),JulSun1+11, "")</f>
        <v>42922</v>
      </c>
      <c r="X8" s="7">
        <f>IF(AND(YEAR(JulSun1+12)=TheYear,MONTH(JulSun1+12)=7),JulSun1+12, "")</f>
        <v>42923</v>
      </c>
      <c r="Y8" s="7">
        <f>IF(AND(YEAR(JulSun1+13)=TheYear,MONTH(JulSun1+13)=7),JulSun1+13, "")</f>
        <v>42924</v>
      </c>
      <c r="Z8" s="8"/>
      <c r="AA8" s="7">
        <f>IF(AND(YEAR(OctSun1+7)=TheYear,MONTH(OctSun1+7)=10),OctSun1+7, "")</f>
        <v>43016</v>
      </c>
      <c r="AB8" s="7">
        <f>IF(AND(YEAR(OctSun1+8)=TheYear,MONTH(OctSun1+8)=10),OctSun1+8, "")</f>
        <v>43017</v>
      </c>
      <c r="AC8" s="7">
        <f>IF(AND(YEAR(OctSun1+9)=TheYear,MONTH(OctSun1+9)=10),OctSun1+9, "")</f>
        <v>43018</v>
      </c>
      <c r="AD8" s="7">
        <f>IF(AND(YEAR(OctSun1+10)=TheYear,MONTH(OctSun1+10)=10),OctSun1+10, "")</f>
        <v>43019</v>
      </c>
      <c r="AE8" s="7">
        <f>IF(AND(YEAR(OctSun1+11)=TheYear,MONTH(OctSun1+11)=10),OctSun1+11, "")</f>
        <v>43020</v>
      </c>
      <c r="AF8" s="7">
        <f>IF(AND(YEAR(OctSun1+12)=TheYear,MONTH(OctSun1+12)=10),OctSun1+12, "")</f>
        <v>43021</v>
      </c>
      <c r="AG8" s="7">
        <f>IF(AND(YEAR(OctSun1+13)=TheYear,MONTH(OctSun1+13)=10),OctSun1+13, "")</f>
        <v>43022</v>
      </c>
      <c r="AH8" s="6"/>
    </row>
    <row r="9" spans="2:34">
      <c r="B9" s="9"/>
      <c r="C9" s="7">
        <f>IF(AND(YEAR(JanSun1+14)=TheYear,MONTH(JanSun1+14)=1),JanSun1+14, "")</f>
        <v>42750</v>
      </c>
      <c r="D9" s="7">
        <f>IF(AND(YEAR(JanSun1+15)=TheYear,MONTH(JanSun1+15)=1),JanSun1+15, "")</f>
        <v>42751</v>
      </c>
      <c r="E9" s="7">
        <f>IF(AND(YEAR(JanSun1+16)=TheYear,MONTH(JanSun1+16)=1),JanSun1+16, "")</f>
        <v>42752</v>
      </c>
      <c r="F9" s="7">
        <f>IF(AND(YEAR(JanSun1+17)=TheYear,MONTH(JanSun1+17)=1),JanSun1+17, "")</f>
        <v>42753</v>
      </c>
      <c r="G9" s="7">
        <f>IF(AND(YEAR(JanSun1+18)=TheYear,MONTH(JanSun1+18)=1),JanSun1+18, "")</f>
        <v>42754</v>
      </c>
      <c r="H9" s="7">
        <f>IF(AND(YEAR(JanSun1+19)=TheYear,MONTH(JanSun1+19)=1),JanSun1+19, "")</f>
        <v>42755</v>
      </c>
      <c r="I9" s="7">
        <f>IF(AND(YEAR(JanSun1+20)=TheYear,MONTH(JanSun1+20)=1),JanSun1+20, "")</f>
        <v>42756</v>
      </c>
      <c r="J9" s="8"/>
      <c r="K9" s="7">
        <f>IF(AND(YEAR(AprSun1+14)=TheYear,MONTH(AprSun1+14)=4),AprSun1+14, "")</f>
        <v>42834</v>
      </c>
      <c r="L9" s="7">
        <f>IF(AND(YEAR(AprSun1+15)=TheYear,MONTH(AprSun1+15)=4),AprSun1+15, "")</f>
        <v>42835</v>
      </c>
      <c r="M9" s="7">
        <f>IF(AND(YEAR(AprSun1+16)=TheYear,MONTH(AprSun1+16)=4),AprSun1+16, "")</f>
        <v>42836</v>
      </c>
      <c r="N9" s="7">
        <f>IF(AND(YEAR(AprSun1+17)=TheYear,MONTH(AprSun1+17)=4),AprSun1+17, "")</f>
        <v>42837</v>
      </c>
      <c r="O9" s="7">
        <f>IF(AND(YEAR(AprSun1+18)=TheYear,MONTH(AprSun1+18)=4),AprSun1+18, "")</f>
        <v>42838</v>
      </c>
      <c r="P9" s="7">
        <f>IF(AND(YEAR(AprSun1+19)=TheYear,MONTH(AprSun1+19)=4),AprSun1+19, "")</f>
        <v>42839</v>
      </c>
      <c r="Q9" s="7">
        <f>IF(AND(YEAR(AprSun1+20)=TheYear,MONTH(AprSun1+20)=4),AprSun1+20, "")</f>
        <v>42840</v>
      </c>
      <c r="R9" s="8"/>
      <c r="S9" s="7">
        <f>IF(AND(YEAR(JulSun1+14)=TheYear,MONTH(JulSun1+14)=7),JulSun1+14, "")</f>
        <v>42925</v>
      </c>
      <c r="T9" s="7">
        <f>IF(AND(YEAR(JulSun1+15)=TheYear,MONTH(JulSun1+15)=7),JulSun1+15, "")</f>
        <v>42926</v>
      </c>
      <c r="U9" s="7">
        <f>IF(AND(YEAR(JulSun1+16)=TheYear,MONTH(JulSun1+16)=7),JulSun1+16, "")</f>
        <v>42927</v>
      </c>
      <c r="V9" s="7">
        <f>IF(AND(YEAR(JulSun1+17)=TheYear,MONTH(JulSun1+17)=7),JulSun1+17, "")</f>
        <v>42928</v>
      </c>
      <c r="W9" s="7">
        <f>IF(AND(YEAR(JulSun1+18)=TheYear,MONTH(JulSun1+18)=7),JulSun1+18, "")</f>
        <v>42929</v>
      </c>
      <c r="X9" s="7">
        <f>IF(AND(YEAR(JulSun1+19)=TheYear,MONTH(JulSun1+19)=7),JulSun1+19, "")</f>
        <v>42930</v>
      </c>
      <c r="Y9" s="7">
        <f>IF(AND(YEAR(JulSun1+20)=TheYear,MONTH(JulSun1+20)=7),JulSun1+20, "")</f>
        <v>42931</v>
      </c>
      <c r="Z9" s="8"/>
      <c r="AA9" s="7">
        <f>IF(AND(YEAR(OctSun1+14)=TheYear,MONTH(OctSun1+14)=10),OctSun1+14, "")</f>
        <v>43023</v>
      </c>
      <c r="AB9" s="7">
        <f>IF(AND(YEAR(OctSun1+15)=TheYear,MONTH(OctSun1+15)=10),OctSun1+15, "")</f>
        <v>43024</v>
      </c>
      <c r="AC9" s="7">
        <f>IF(AND(YEAR(OctSun1+16)=TheYear,MONTH(OctSun1+16)=10),OctSun1+16, "")</f>
        <v>43025</v>
      </c>
      <c r="AD9" s="7">
        <f>IF(AND(YEAR(OctSun1+17)=TheYear,MONTH(OctSun1+17)=10),OctSun1+17, "")</f>
        <v>43026</v>
      </c>
      <c r="AE9" s="7">
        <f>IF(AND(YEAR(OctSun1+18)=TheYear,MONTH(OctSun1+18)=10),OctSun1+18, "")</f>
        <v>43027</v>
      </c>
      <c r="AF9" s="7">
        <f>IF(AND(YEAR(OctSun1+19)=TheYear,MONTH(OctSun1+19)=10),OctSun1+19, "")</f>
        <v>43028</v>
      </c>
      <c r="AG9" s="7">
        <f>IF(AND(YEAR(OctSun1+20)=TheYear,MONTH(OctSun1+20)=10),OctSun1+20, "")</f>
        <v>43029</v>
      </c>
      <c r="AH9" s="6"/>
    </row>
    <row r="10" spans="2:34">
      <c r="B10" s="9"/>
      <c r="C10" s="7">
        <f>IF(AND(YEAR(JanSun1+21)=TheYear,MONTH(JanSun1+21)=1),JanSun1+21, "")</f>
        <v>42757</v>
      </c>
      <c r="D10" s="7">
        <f>IF(AND(YEAR(JanSun1+22)=TheYear,MONTH(JanSun1+22)=1),JanSun1+22, "")</f>
        <v>42758</v>
      </c>
      <c r="E10" s="7">
        <f>IF(AND(YEAR(JanSun1+23)=TheYear,MONTH(JanSun1+23)=1),JanSun1+23, "")</f>
        <v>42759</v>
      </c>
      <c r="F10" s="7">
        <f>IF(AND(YEAR(JanSun1+24)=TheYear,MONTH(JanSun1+24)=1),JanSun1+24, "")</f>
        <v>42760</v>
      </c>
      <c r="G10" s="7">
        <f>IF(AND(YEAR(JanSun1+25)=TheYear,MONTH(JanSun1+25)=1),JanSun1+25, "")</f>
        <v>42761</v>
      </c>
      <c r="H10" s="7">
        <f>IF(AND(YEAR(JanSun1+26)=TheYear,MONTH(JanSun1+26)=1),JanSun1+26, "")</f>
        <v>42762</v>
      </c>
      <c r="I10" s="7">
        <f>IF(AND(YEAR(JanSun1+27)=TheYear,MONTH(JanSun1+27)=1),JanSun1+27, "")</f>
        <v>42763</v>
      </c>
      <c r="J10" s="8"/>
      <c r="K10" s="7">
        <f>IF(AND(YEAR(AprSun1+21)=TheYear,MONTH(AprSun1+21)=4),AprSun1+21, "")</f>
        <v>42841</v>
      </c>
      <c r="L10" s="7">
        <f>IF(AND(YEAR(AprSun1+22)=TheYear,MONTH(AprSun1+22)=4),AprSun1+22, "")</f>
        <v>42842</v>
      </c>
      <c r="M10" s="7">
        <f>IF(AND(YEAR(AprSun1+23)=TheYear,MONTH(AprSun1+23)=4),AprSun1+23, "")</f>
        <v>42843</v>
      </c>
      <c r="N10" s="7">
        <f>IF(AND(YEAR(AprSun1+24)=TheYear,MONTH(AprSun1+24)=4),AprSun1+24, "")</f>
        <v>42844</v>
      </c>
      <c r="O10" s="7">
        <f>IF(AND(YEAR(AprSun1+25)=TheYear,MONTH(AprSun1+25)=4),AprSun1+25, "")</f>
        <v>42845</v>
      </c>
      <c r="P10" s="7">
        <f>IF(AND(YEAR(AprSun1+26)=TheYear,MONTH(AprSun1+26)=4),AprSun1+26, "")</f>
        <v>42846</v>
      </c>
      <c r="Q10" s="7">
        <f>IF(AND(YEAR(AprSun1+27)=TheYear,MONTH(AprSun1+27)=4),AprSun1+27, "")</f>
        <v>42847</v>
      </c>
      <c r="R10" s="8"/>
      <c r="S10" s="7">
        <f>IF(AND(YEAR(JulSun1+21)=TheYear,MONTH(JulSun1+21)=7),JulSun1+21, "")</f>
        <v>42932</v>
      </c>
      <c r="T10" s="7">
        <f>IF(AND(YEAR(JulSun1+22)=TheYear,MONTH(JulSun1+22)=7),JulSun1+22, "")</f>
        <v>42933</v>
      </c>
      <c r="U10" s="7">
        <f>IF(AND(YEAR(JulSun1+23)=TheYear,MONTH(JulSun1+23)=7),JulSun1+23, "")</f>
        <v>42934</v>
      </c>
      <c r="V10" s="7">
        <f>IF(AND(YEAR(JulSun1+24)=TheYear,MONTH(JulSun1+24)=7),JulSun1+24, "")</f>
        <v>42935</v>
      </c>
      <c r="W10" s="7">
        <f>IF(AND(YEAR(JulSun1+25)=TheYear,MONTH(JulSun1+25)=7),JulSun1+25, "")</f>
        <v>42936</v>
      </c>
      <c r="X10" s="7">
        <f>IF(AND(YEAR(JulSun1+26)=TheYear,MONTH(JulSun1+26)=7),JulSun1+26, "")</f>
        <v>42937</v>
      </c>
      <c r="Y10" s="7">
        <f>IF(AND(YEAR(JulSun1+27)=TheYear,MONTH(JulSun1+27)=7),JulSun1+27, "")</f>
        <v>42938</v>
      </c>
      <c r="Z10" s="8"/>
      <c r="AA10" s="7">
        <f>IF(AND(YEAR(OctSun1+21)=TheYear,MONTH(OctSun1+21)=10),OctSun1+21, "")</f>
        <v>43030</v>
      </c>
      <c r="AB10" s="7">
        <f>IF(AND(YEAR(OctSun1+22)=TheYear,MONTH(OctSun1+22)=10),OctSun1+22, "")</f>
        <v>43031</v>
      </c>
      <c r="AC10" s="7">
        <f>IF(AND(YEAR(OctSun1+23)=TheYear,MONTH(OctSun1+23)=10),OctSun1+23, "")</f>
        <v>43032</v>
      </c>
      <c r="AD10" s="7">
        <f>IF(AND(YEAR(OctSun1+24)=TheYear,MONTH(OctSun1+24)=10),OctSun1+24, "")</f>
        <v>43033</v>
      </c>
      <c r="AE10" s="7">
        <f>IF(AND(YEAR(OctSun1+25)=TheYear,MONTH(OctSun1+25)=10),OctSun1+25, "")</f>
        <v>43034</v>
      </c>
      <c r="AF10" s="7">
        <f>IF(AND(YEAR(OctSun1+26)=TheYear,MONTH(OctSun1+26)=10),OctSun1+26, "")</f>
        <v>43035</v>
      </c>
      <c r="AG10" s="7">
        <f>IF(AND(YEAR(OctSun1+27)=TheYear,MONTH(OctSun1+27)=10),OctSun1+27, "")</f>
        <v>43036</v>
      </c>
      <c r="AH10" s="6"/>
    </row>
    <row r="11" spans="2:34">
      <c r="B11" s="9"/>
      <c r="C11" s="7">
        <f>IF(AND(YEAR(JanSun1+28)=TheYear,MONTH(JanSun1+28)=1),JanSun1+28, "")</f>
        <v>42764</v>
      </c>
      <c r="D11" s="7">
        <f>IF(AND(YEAR(JanSun1+29)=TheYear,MONTH(JanSun1+29)=1),JanSun1+29, "")</f>
        <v>42765</v>
      </c>
      <c r="E11" s="7">
        <f>IF(AND(YEAR(JanSun1+30)=TheYear,MONTH(JanSun1+30)=1),JanSun1+30, "")</f>
        <v>42766</v>
      </c>
      <c r="F11" s="7" t="str">
        <f>IF(AND(YEAR(JanSun1+31)=TheYear,MONTH(JanSun1+31)=1),JanSun1+31, "")</f>
        <v/>
      </c>
      <c r="G11" s="7" t="str">
        <f>IF(AND(YEAR(JanSun1+32)=TheYear,MONTH(JanSun1+32)=1),JanSun1+32, "")</f>
        <v/>
      </c>
      <c r="H11" s="7" t="str">
        <f>IF(AND(YEAR(JanSun1+33)=TheYear,MONTH(JanSun1+33)=1),JanSun1+33, "")</f>
        <v/>
      </c>
      <c r="I11" s="7" t="str">
        <f>IF(AND(YEAR(JanSun1+34)=TheYear,MONTH(JanSun1+34)=1),JanSun1+34, "")</f>
        <v/>
      </c>
      <c r="J11" s="8"/>
      <c r="K11" s="7">
        <f>IF(AND(YEAR(AprSun1+28)=TheYear,MONTH(AprSun1+28)=4),AprSun1+28, "")</f>
        <v>42848</v>
      </c>
      <c r="L11" s="7">
        <f>IF(AND(YEAR(AprSun1+29)=TheYear,MONTH(AprSun1+29)=4),AprSun1+29, "")</f>
        <v>42849</v>
      </c>
      <c r="M11" s="7">
        <f>IF(AND(YEAR(AprSun1+30)=TheYear,MONTH(AprSun1+30)=4),AprSun1+30, "")</f>
        <v>42850</v>
      </c>
      <c r="N11" s="7">
        <f>IF(AND(YEAR(AprSun1+31)=TheYear,MONTH(AprSun1+31)=4),AprSun1+31, "")</f>
        <v>42851</v>
      </c>
      <c r="O11" s="7">
        <f>IF(AND(YEAR(AprSun1+32)=TheYear,MONTH(AprSun1+32)=4),AprSun1+32, "")</f>
        <v>42852</v>
      </c>
      <c r="P11" s="7">
        <f>IF(AND(YEAR(AprSun1+33)=TheYear,MONTH(AprSun1+33)=4),AprSun1+33, "")</f>
        <v>42853</v>
      </c>
      <c r="Q11" s="7">
        <f>IF(AND(YEAR(AprSun1+34)=TheYear,MONTH(AprSun1+34)=4),AprSun1+34, "")</f>
        <v>42854</v>
      </c>
      <c r="R11" s="8"/>
      <c r="S11" s="7">
        <f>IF(AND(YEAR(JulSun1+28)=TheYear,MONTH(JulSun1+28)=7),JulSun1+28, "")</f>
        <v>42939</v>
      </c>
      <c r="T11" s="7">
        <f>IF(AND(YEAR(JulSun1+29)=TheYear,MONTH(JulSun1+29)=7),JulSun1+29, "")</f>
        <v>42940</v>
      </c>
      <c r="U11" s="7">
        <f>IF(AND(YEAR(JulSun1+30)=TheYear,MONTH(JulSun1+30)=7),JulSun1+30, "")</f>
        <v>42941</v>
      </c>
      <c r="V11" s="7">
        <f>IF(AND(YEAR(JulSun1+31)=TheYear,MONTH(JulSun1+31)=7),JulSun1+31, "")</f>
        <v>42942</v>
      </c>
      <c r="W11" s="7">
        <f>IF(AND(YEAR(JulSun1+32)=TheYear,MONTH(JulSun1+32)=7),JulSun1+32, "")</f>
        <v>42943</v>
      </c>
      <c r="X11" s="7">
        <f>IF(AND(YEAR(JulSun1+33)=TheYear,MONTH(JulSun1+33)=7),JulSun1+33, "")</f>
        <v>42944</v>
      </c>
      <c r="Y11" s="7">
        <f>IF(AND(YEAR(JulSun1+34)=TheYear,MONTH(JulSun1+34)=7),JulSun1+34, "")</f>
        <v>42945</v>
      </c>
      <c r="Z11" s="8"/>
      <c r="AA11" s="7">
        <f>IF(AND(YEAR(OctSun1+28)=TheYear,MONTH(OctSun1+28)=10),OctSun1+28, "")</f>
        <v>43037</v>
      </c>
      <c r="AB11" s="7">
        <f>IF(AND(YEAR(OctSun1+29)=TheYear,MONTH(OctSun1+29)=10),OctSun1+29, "")</f>
        <v>43038</v>
      </c>
      <c r="AC11" s="7">
        <f>IF(AND(YEAR(OctSun1+30)=TheYear,MONTH(OctSun1+30)=10),OctSun1+30, "")</f>
        <v>43039</v>
      </c>
      <c r="AD11" s="7" t="str">
        <f>IF(AND(YEAR(OctSun1+31)=TheYear,MONTH(OctSun1+31)=10),OctSun1+31, "")</f>
        <v/>
      </c>
      <c r="AE11" s="7" t="str">
        <f>IF(AND(YEAR(OctSun1+32)=TheYear,MONTH(OctSun1+32)=10),OctSun1+32, "")</f>
        <v/>
      </c>
      <c r="AF11" s="7" t="str">
        <f>IF(AND(YEAR(OctSun1+33)=TheYear,MONTH(OctSun1+33)=10),OctSun1+33, "")</f>
        <v/>
      </c>
      <c r="AG11" s="7" t="str">
        <f>IF(AND(YEAR(OctSun1+34)=TheYear,MONTH(OctSun1+34)=10),OctSun1+34, "")</f>
        <v/>
      </c>
      <c r="AH11" s="6"/>
    </row>
    <row r="12" spans="2:34">
      <c r="B12" s="9"/>
      <c r="C12" s="7" t="str">
        <f>IF(AND(YEAR(JanSun1+35)=TheYear,MONTH(JanSun1+35)=1),JanSun1+35, "")</f>
        <v/>
      </c>
      <c r="D12" s="7" t="str">
        <f>IF(AND(YEAR(JanSun1+36)=TheYear,MONTH(JanSun1+36)=1),JanSun1+36, "")</f>
        <v/>
      </c>
      <c r="E12" s="7" t="str">
        <f>IF(AND(YEAR(JanSun1+37)=TheYear,MONTH(JanSun1+37)=1),JanSun1+37, "")</f>
        <v/>
      </c>
      <c r="F12" s="7" t="str">
        <f>IF(AND(YEAR(JanSun1+38)=TheYear,MONTH(JanSun1+38)=1),JanSun1+38, "")</f>
        <v/>
      </c>
      <c r="G12" s="7" t="str">
        <f>IF(AND(YEAR(JanSun1+39)=TheYear,MONTH(JanSun1+39)=1),JanSun1+39, "")</f>
        <v/>
      </c>
      <c r="H12" s="7" t="str">
        <f>IF(AND(YEAR(JanSun1+40)=TheYear,MONTH(JanSun1+40)=1),JanSun1+40, "")</f>
        <v/>
      </c>
      <c r="I12" s="7" t="str">
        <f>IF(AND(YEAR(JanSun1+41)=TheYear,MONTH(JanSun1+41)=1),JanSun1+41, "")</f>
        <v/>
      </c>
      <c r="J12" s="8"/>
      <c r="K12" s="14">
        <f>IF(AND(YEAR(AprSun1+35)=TheYear,MONTH(AprSun1+35)=4),AprSun1+35, "")</f>
        <v>42855</v>
      </c>
      <c r="L12" s="14" t="str">
        <f>IF(AND(YEAR(AprSun1+36)=TheYear,MONTH(AprSun1+36)=4),AprSun1+36, "")</f>
        <v/>
      </c>
      <c r="M12" s="14" t="str">
        <f>IF(AND(YEAR(AprSun1+37)=TheYear,MONTH(AprSun1+37)=4),AprSun1+37, "")</f>
        <v/>
      </c>
      <c r="N12" s="14" t="str">
        <f>IF(AND(YEAR(AprSun1+38)=TheYear,MONTH(AprSun1+38)=4),AprSun1+38, "")</f>
        <v/>
      </c>
      <c r="O12" s="14" t="str">
        <f>IF(AND(YEAR(AprSun1+39)=TheYear,MONTH(AprSun1+39)=4),AprSun1+39, "")</f>
        <v/>
      </c>
      <c r="P12" s="14" t="str">
        <f>IF(AND(YEAR(AprSun1+40)=TheYear,MONTH(AprSun1+40)=4),AprSun1+40, "")</f>
        <v/>
      </c>
      <c r="Q12" s="14" t="str">
        <f>IF(AND(YEAR(AprSun1+41)=TheYear,MONTH(AprSun1+41)=4),AprSun1+41, "")</f>
        <v/>
      </c>
      <c r="R12" s="8"/>
      <c r="S12" s="14">
        <f>IF(AND(YEAR(JulSun1+35)=TheYear,MONTH(JulSun1+35)=7),JulSun1+35, "")</f>
        <v>42946</v>
      </c>
      <c r="T12" s="14">
        <f>IF(AND(YEAR(JulSun1+36)=TheYear,MONTH(JulSun1+36)=7),JulSun1+36, "")</f>
        <v>42947</v>
      </c>
      <c r="U12" s="14" t="str">
        <f>IF(AND(YEAR(JulSun1+37)=TheYear,MONTH(JulSun1+37)=7),JulSun1+37, "")</f>
        <v/>
      </c>
      <c r="V12" s="14" t="str">
        <f>IF(AND(YEAR(JulSun1+38)=TheYear,MONTH(JulSun1+38)=7),JulSun1+38, "")</f>
        <v/>
      </c>
      <c r="W12" s="14" t="str">
        <f>IF(AND(YEAR(JulSun1+39)=TheYear,MONTH(JulSun1+39)=7),JulSun1+39, "")</f>
        <v/>
      </c>
      <c r="X12" s="14" t="str">
        <f>IF(AND(YEAR(JulSun1+40)=TheYear,MONTH(JulSun1+40)=7),JulSun1+40, "")</f>
        <v/>
      </c>
      <c r="Y12" s="14" t="str">
        <f>IF(AND(YEAR(JulSun1+41)=TheYear,MONTH(JulSun1+41)=7),JulSun1+41, "")</f>
        <v/>
      </c>
      <c r="Z12" s="8"/>
      <c r="AA12" s="7" t="str">
        <f>IF(AND(YEAR(OctSun1+35)=TheYear,MONTH(OctSun1+35)=10),OctSun1+35, "")</f>
        <v/>
      </c>
      <c r="AB12" s="7" t="str">
        <f>IF(AND(YEAR(OctSun1+36)=TheYear,MONTH(OctSun1+36)=10),OctSun1+36, "")</f>
        <v/>
      </c>
      <c r="AC12" s="7" t="str">
        <f>IF(AND(YEAR(OctSun1+37)=TheYear,MONTH(OctSun1+37)=10),OctSun1+37, "")</f>
        <v/>
      </c>
      <c r="AD12" s="7" t="str">
        <f>IF(AND(YEAR(OctSun1+38)=TheYear,MONTH(OctSun1+38)=10),OctSun1+38, "")</f>
        <v/>
      </c>
      <c r="AE12" s="7" t="str">
        <f>IF(AND(YEAR(OctSun1+39)=TheYear,MONTH(OctSun1+39)=10),OctSun1+39, "")</f>
        <v/>
      </c>
      <c r="AF12" s="7" t="str">
        <f>IF(AND(YEAR(OctSun1+40)=TheYear,MONTH(OctSun1+40)=10),OctSun1+40, "")</f>
        <v/>
      </c>
      <c r="AG12" s="7" t="str">
        <f>IF(AND(YEAR(OctSun1+41)=TheYear,MONTH(OctSun1+41)=10),OctSun1+41, "")</f>
        <v/>
      </c>
      <c r="AH12" s="6"/>
    </row>
    <row r="13" spans="2:34" ht="3.75" customHeight="1">
      <c r="B13" s="9"/>
      <c r="C13" s="13"/>
      <c r="D13" s="13"/>
      <c r="E13" s="13"/>
      <c r="F13" s="13"/>
      <c r="G13" s="13"/>
      <c r="H13" s="13"/>
      <c r="I13" s="13"/>
      <c r="J13" s="8"/>
      <c r="K13" s="13"/>
      <c r="L13" s="13"/>
      <c r="M13" s="13"/>
      <c r="N13" s="13"/>
      <c r="O13" s="13"/>
      <c r="P13" s="13"/>
      <c r="Q13" s="13"/>
      <c r="R13" s="8"/>
      <c r="S13" s="13"/>
      <c r="T13" s="13"/>
      <c r="U13" s="13"/>
      <c r="V13" s="13"/>
      <c r="W13" s="13"/>
      <c r="X13" s="13"/>
      <c r="Y13" s="13"/>
      <c r="Z13" s="8"/>
      <c r="AA13" s="13"/>
      <c r="AB13" s="13"/>
      <c r="AC13" s="13"/>
      <c r="AD13" s="13"/>
      <c r="AE13" s="13"/>
      <c r="AF13" s="13"/>
      <c r="AG13" s="13"/>
      <c r="AH13" s="6"/>
    </row>
    <row r="14" spans="2:34">
      <c r="B14" s="9"/>
      <c r="C14" s="54" t="s">
        <v>35</v>
      </c>
      <c r="D14" s="54"/>
      <c r="E14" s="54"/>
      <c r="F14" s="54"/>
      <c r="G14" s="54"/>
      <c r="H14" s="54"/>
      <c r="I14" s="54"/>
      <c r="J14" s="8"/>
      <c r="K14" s="54" t="s">
        <v>34</v>
      </c>
      <c r="L14" s="54"/>
      <c r="M14" s="54"/>
      <c r="N14" s="54"/>
      <c r="O14" s="54"/>
      <c r="P14" s="54"/>
      <c r="Q14" s="54"/>
      <c r="R14" s="8"/>
      <c r="S14" s="54" t="s">
        <v>33</v>
      </c>
      <c r="T14" s="54"/>
      <c r="U14" s="54"/>
      <c r="V14" s="54"/>
      <c r="W14" s="54"/>
      <c r="X14" s="54"/>
      <c r="Y14" s="54"/>
      <c r="Z14" s="8"/>
      <c r="AA14" s="54" t="s">
        <v>32</v>
      </c>
      <c r="AB14" s="54"/>
      <c r="AC14" s="54"/>
      <c r="AD14" s="54"/>
      <c r="AE14" s="54"/>
      <c r="AF14" s="54"/>
      <c r="AG14" s="54"/>
      <c r="AH14" s="6"/>
    </row>
    <row r="15" spans="2:34">
      <c r="B15" s="9"/>
      <c r="C15" s="12" t="s">
        <v>23</v>
      </c>
      <c r="D15" s="11" t="s">
        <v>27</v>
      </c>
      <c r="E15" s="11" t="s">
        <v>25</v>
      </c>
      <c r="F15" s="11" t="s">
        <v>26</v>
      </c>
      <c r="G15" s="11" t="s">
        <v>25</v>
      </c>
      <c r="H15" s="11" t="s">
        <v>24</v>
      </c>
      <c r="I15" s="10" t="s">
        <v>23</v>
      </c>
      <c r="J15" s="8"/>
      <c r="K15" s="12" t="s">
        <v>23</v>
      </c>
      <c r="L15" s="11" t="s">
        <v>27</v>
      </c>
      <c r="M15" s="11" t="s">
        <v>25</v>
      </c>
      <c r="N15" s="11" t="s">
        <v>26</v>
      </c>
      <c r="O15" s="11" t="s">
        <v>25</v>
      </c>
      <c r="P15" s="11" t="s">
        <v>24</v>
      </c>
      <c r="Q15" s="10" t="s">
        <v>23</v>
      </c>
      <c r="R15" s="8"/>
      <c r="S15" s="12" t="s">
        <v>23</v>
      </c>
      <c r="T15" s="11" t="s">
        <v>27</v>
      </c>
      <c r="U15" s="11" t="s">
        <v>25</v>
      </c>
      <c r="V15" s="11" t="s">
        <v>26</v>
      </c>
      <c r="W15" s="11" t="s">
        <v>25</v>
      </c>
      <c r="X15" s="11" t="s">
        <v>24</v>
      </c>
      <c r="Y15" s="10" t="s">
        <v>23</v>
      </c>
      <c r="Z15" s="8"/>
      <c r="AA15" s="12" t="s">
        <v>23</v>
      </c>
      <c r="AB15" s="11" t="s">
        <v>27</v>
      </c>
      <c r="AC15" s="11" t="s">
        <v>25</v>
      </c>
      <c r="AD15" s="11" t="s">
        <v>26</v>
      </c>
      <c r="AE15" s="11" t="s">
        <v>25</v>
      </c>
      <c r="AF15" s="11" t="s">
        <v>24</v>
      </c>
      <c r="AG15" s="10" t="s">
        <v>23</v>
      </c>
      <c r="AH15" s="6"/>
    </row>
    <row r="16" spans="2:34">
      <c r="B16" s="9"/>
      <c r="C16" s="7" t="str">
        <f>IF(AND(YEAR(FebSun1)=TheYear,MONTH(FebSun1)=2),FebSun1, "")</f>
        <v/>
      </c>
      <c r="D16" s="7" t="str">
        <f>IF(AND(YEAR(FebSun1+1)=TheYear,MONTH(FebSun1+1)=2),FebSun1+1, "")</f>
        <v/>
      </c>
      <c r="E16" s="7" t="str">
        <f>IF(AND(YEAR(FebSun1+2)=TheYear,MONTH(FebSun1+2)=2),FebSun1+2, "")</f>
        <v/>
      </c>
      <c r="F16" s="7">
        <f>IF(AND(YEAR(FebSun1+3)=TheYear,MONTH(FebSun1+3)=2),FebSun1+3, "")</f>
        <v>42767</v>
      </c>
      <c r="G16" s="7">
        <f>IF(AND(YEAR(FebSun1+4)=TheYear,MONTH(FebSun1+4)=2),FebSun1+4, "")</f>
        <v>42768</v>
      </c>
      <c r="H16" s="7">
        <f>IF(AND(YEAR(FebSun1+5)=TheYear,MONTH(FebSun1+5)=2),FebSun1+5, "")</f>
        <v>42769</v>
      </c>
      <c r="I16" s="7">
        <f>IF(AND(YEAR(FebSun1+6)=TheYear,MONTH(FebSun1+6)=2),FebSun1+6, "")</f>
        <v>42770</v>
      </c>
      <c r="J16" s="8"/>
      <c r="K16" s="7" t="str">
        <f>IF(AND(YEAR(MaySun1)=TheYear,MONTH(MaySun1)=5),MaySun1, "")</f>
        <v/>
      </c>
      <c r="L16" s="7">
        <f>IF(AND(YEAR(MaySun1+1)=TheYear,MONTH(MaySun1+1)=5),MaySun1+1, "")</f>
        <v>42856</v>
      </c>
      <c r="M16" s="7">
        <f>IF(AND(YEAR(MaySun1+2)=TheYear,MONTH(MaySun1+2)=5),MaySun1+2, "")</f>
        <v>42857</v>
      </c>
      <c r="N16" s="7">
        <f>IF(AND(YEAR(MaySun1+3)=TheYear,MONTH(MaySun1+3)=5),MaySun1+3, "")</f>
        <v>42858</v>
      </c>
      <c r="O16" s="7">
        <f>IF(AND(YEAR(MaySun1+4)=TheYear,MONTH(MaySun1+4)=5),MaySun1+4, "")</f>
        <v>42859</v>
      </c>
      <c r="P16" s="7">
        <f>IF(AND(YEAR(MaySun1+5)=TheYear,MONTH(MaySun1+5)=5),MaySun1+5, "")</f>
        <v>42860</v>
      </c>
      <c r="Q16" s="7">
        <f>IF(AND(YEAR(MaySun1+6)=TheYear,MONTH(MaySun1+6)=5),MaySun1+6, "")</f>
        <v>42861</v>
      </c>
      <c r="R16" s="8"/>
      <c r="S16" s="7" t="str">
        <f>IF(AND(YEAR(AugSun1)=TheYear,MONTH(AugSun1)=8),AugSun1, "")</f>
        <v/>
      </c>
      <c r="T16" s="7" t="str">
        <f>IF(AND(YEAR(AugSun1+1)=TheYear,MONTH(AugSun1+1)=8),AugSun1+1, "")</f>
        <v/>
      </c>
      <c r="U16" s="7">
        <f>IF(AND(YEAR(AugSun1+2)=TheYear,MONTH(AugSun1+2)=8),AugSun1+2, "")</f>
        <v>42948</v>
      </c>
      <c r="V16" s="7">
        <f>IF(AND(YEAR(AugSun1+3)=TheYear,MONTH(AugSun1+3)=8),AugSun1+3, "")</f>
        <v>42949</v>
      </c>
      <c r="W16" s="7">
        <f>IF(AND(YEAR(AugSun1+4)=TheYear,MONTH(AugSun1+4)=8),AugSun1+4, "")</f>
        <v>42950</v>
      </c>
      <c r="X16" s="7">
        <f>IF(AND(YEAR(AugSun1+5)=TheYear,MONTH(AugSun1+5)=8),AugSun1+5, "")</f>
        <v>42951</v>
      </c>
      <c r="Y16" s="7">
        <f>IF(AND(YEAR(AugSun1+6)=TheYear,MONTH(AugSun1+6)=8),AugSun1+6, "")</f>
        <v>42952</v>
      </c>
      <c r="Z16" s="8"/>
      <c r="AA16" s="7" t="str">
        <f>IF(AND(YEAR(NovSun1)=TheYear,MONTH(NovSun1)=11),NovSun1, "")</f>
        <v/>
      </c>
      <c r="AB16" s="7" t="str">
        <f>IF(AND(YEAR(NovSun1+1)=TheYear,MONTH(NovSun1+1)=11),NovSun1+1, "")</f>
        <v/>
      </c>
      <c r="AC16" s="7" t="str">
        <f>IF(AND(YEAR(NovSun1+2)=TheYear,MONTH(NovSun1+2)=11),NovSun1+2, "")</f>
        <v/>
      </c>
      <c r="AD16" s="7">
        <f>IF(AND(YEAR(NovSun1+3)=TheYear,MONTH(NovSun1+3)=11),NovSun1+3, "")</f>
        <v>43040</v>
      </c>
      <c r="AE16" s="7">
        <f>IF(AND(YEAR(NovSun1+4)=TheYear,MONTH(NovSun1+4)=11),NovSun1+4, "")</f>
        <v>43041</v>
      </c>
      <c r="AF16" s="7">
        <f>IF(AND(YEAR(NovSun1+5)=TheYear,MONTH(NovSun1+5)=11),NovSun1+5, "")</f>
        <v>43042</v>
      </c>
      <c r="AG16" s="7">
        <f>IF(AND(YEAR(NovSun1+6)=TheYear,MONTH(NovSun1+6)=11),NovSun1+6, "")</f>
        <v>43043</v>
      </c>
      <c r="AH16" s="6"/>
    </row>
    <row r="17" spans="2:34">
      <c r="B17" s="9"/>
      <c r="C17" s="7">
        <f>IF(AND(YEAR(FebSun1+7)=TheYear,MONTH(FebSun1+7)=2),FebSun1+7, "")</f>
        <v>42771</v>
      </c>
      <c r="D17" s="7">
        <f>IF(AND(YEAR(FebSun1+8)=TheYear,MONTH(FebSun1+8)=2),FebSun1+8, "")</f>
        <v>42772</v>
      </c>
      <c r="E17" s="7">
        <f>IF(AND(YEAR(FebSun1+9)=TheYear,MONTH(FebSun1+9)=2),FebSun1+9, "")</f>
        <v>42773</v>
      </c>
      <c r="F17" s="7">
        <f>IF(AND(YEAR(FebSun1+10)=TheYear,MONTH(FebSun1+10)=2),FebSun1+10, "")</f>
        <v>42774</v>
      </c>
      <c r="G17" s="7">
        <f>IF(AND(YEAR(FebSun1+11)=TheYear,MONTH(FebSun1+11)=2),FebSun1+11, "")</f>
        <v>42775</v>
      </c>
      <c r="H17" s="7">
        <f>IF(AND(YEAR(FebSun1+12)=TheYear,MONTH(FebSun1+12)=2),FebSun1+12, "")</f>
        <v>42776</v>
      </c>
      <c r="I17" s="7">
        <f>IF(AND(YEAR(FebSun1+13)=TheYear,MONTH(FebSun1+13)=2),FebSun1+13, "")</f>
        <v>42777</v>
      </c>
      <c r="J17" s="8"/>
      <c r="K17" s="7">
        <f>IF(AND(YEAR(MaySun1+7)=TheYear,MONTH(MaySun1+7)=5),MaySun1+7, "")</f>
        <v>42862</v>
      </c>
      <c r="L17" s="7">
        <f>IF(AND(YEAR(MaySun1+8)=TheYear,MONTH(MaySun1+8)=5),MaySun1+8, "")</f>
        <v>42863</v>
      </c>
      <c r="M17" s="7">
        <f>IF(AND(YEAR(MaySun1+9)=TheYear,MONTH(MaySun1+9)=5),MaySun1+9, "")</f>
        <v>42864</v>
      </c>
      <c r="N17" s="7">
        <f>IF(AND(YEAR(MaySun1+10)=TheYear,MONTH(MaySun1+10)=5),MaySun1+10, "")</f>
        <v>42865</v>
      </c>
      <c r="O17" s="7">
        <f>IF(AND(YEAR(MaySun1+11)=TheYear,MONTH(MaySun1+11)=5),MaySun1+11, "")</f>
        <v>42866</v>
      </c>
      <c r="P17" s="7">
        <f>IF(AND(YEAR(MaySun1+12)=TheYear,MONTH(MaySun1+12)=5),MaySun1+12, "")</f>
        <v>42867</v>
      </c>
      <c r="Q17" s="7">
        <f>IF(AND(YEAR(MaySun1+13)=TheYear,MONTH(MaySun1+13)=5),MaySun1+13, "")</f>
        <v>42868</v>
      </c>
      <c r="R17" s="8"/>
      <c r="S17" s="7">
        <f>IF(AND(YEAR(AugSun1+7)=TheYear,MONTH(AugSun1+7)=8),AugSun1+7, "")</f>
        <v>42953</v>
      </c>
      <c r="T17" s="7">
        <f>IF(AND(YEAR(AugSun1+8)=TheYear,MONTH(AugSun1+8)=8),AugSun1+8, "")</f>
        <v>42954</v>
      </c>
      <c r="U17" s="7">
        <f>IF(AND(YEAR(AugSun1+9)=TheYear,MONTH(AugSun1+9)=8),AugSun1+9, "")</f>
        <v>42955</v>
      </c>
      <c r="V17" s="7">
        <f>IF(AND(YEAR(AugSun1+10)=TheYear,MONTH(AugSun1+10)=8),AugSun1+10, "")</f>
        <v>42956</v>
      </c>
      <c r="W17" s="7">
        <f>IF(AND(YEAR(AugSun1+11)=TheYear,MONTH(AugSun1+11)=8),AugSun1+11, "")</f>
        <v>42957</v>
      </c>
      <c r="X17" s="7">
        <f>IF(AND(YEAR(AugSun1+12)=TheYear,MONTH(AugSun1+12)=8),AugSun1+12, "")</f>
        <v>42958</v>
      </c>
      <c r="Y17" s="7">
        <f>IF(AND(YEAR(AugSun1+13)=TheYear,MONTH(AugSun1+13)=8),AugSun1+13, "")</f>
        <v>42959</v>
      </c>
      <c r="Z17" s="8"/>
      <c r="AA17" s="7">
        <f>IF(AND(YEAR(NovSun1+7)=TheYear,MONTH(NovSun1+7)=11),NovSun1+7, "")</f>
        <v>43044</v>
      </c>
      <c r="AB17" s="7">
        <f>IF(AND(YEAR(NovSun1+8)=TheYear,MONTH(NovSun1+8)=11),NovSun1+8, "")</f>
        <v>43045</v>
      </c>
      <c r="AC17" s="7">
        <f>IF(AND(YEAR(NovSun1+9)=TheYear,MONTH(NovSun1+9)=11),NovSun1+9, "")</f>
        <v>43046</v>
      </c>
      <c r="AD17" s="7">
        <f>IF(AND(YEAR(NovSun1+10)=TheYear,MONTH(NovSun1+10)=11),NovSun1+10, "")</f>
        <v>43047</v>
      </c>
      <c r="AE17" s="7">
        <f>IF(AND(YEAR(NovSun1+11)=TheYear,MONTH(NovSun1+11)=11),NovSun1+11, "")</f>
        <v>43048</v>
      </c>
      <c r="AF17" s="7">
        <f>IF(AND(YEAR(NovSun1+12)=TheYear,MONTH(NovSun1+12)=11),NovSun1+12, "")</f>
        <v>43049</v>
      </c>
      <c r="AG17" s="7">
        <f>IF(AND(YEAR(NovSun1+13)=TheYear,MONTH(NovSun1+13)=11),NovSun1+13, "")</f>
        <v>43050</v>
      </c>
      <c r="AH17" s="6"/>
    </row>
    <row r="18" spans="2:34">
      <c r="B18" s="9"/>
      <c r="C18" s="7">
        <f>IF(AND(YEAR(FebSun1+14)=TheYear,MONTH(FebSun1+14)=2),FebSun1+14, "")</f>
        <v>42778</v>
      </c>
      <c r="D18" s="7">
        <f>IF(AND(YEAR(FebSun1+15)=TheYear,MONTH(FebSun1+15)=2),FebSun1+15, "")</f>
        <v>42779</v>
      </c>
      <c r="E18" s="7">
        <f>IF(AND(YEAR(FebSun1+16)=TheYear,MONTH(FebSun1+16)=2),FebSun1+16, "")</f>
        <v>42780</v>
      </c>
      <c r="F18" s="7">
        <f>IF(AND(YEAR(FebSun1+17)=TheYear,MONTH(FebSun1+17)=2),FebSun1+17, "")</f>
        <v>42781</v>
      </c>
      <c r="G18" s="7">
        <f>IF(AND(YEAR(FebSun1+18)=TheYear,MONTH(FebSun1+18)=2),FebSun1+18, "")</f>
        <v>42782</v>
      </c>
      <c r="H18" s="7">
        <f>IF(AND(YEAR(FebSun1+19)=TheYear,MONTH(FebSun1+19)=2),FebSun1+19, "")</f>
        <v>42783</v>
      </c>
      <c r="I18" s="7">
        <f>IF(AND(YEAR(FebSun1+20)=TheYear,MONTH(FebSun1+20)=2),FebSun1+20, "")</f>
        <v>42784</v>
      </c>
      <c r="J18" s="8"/>
      <c r="K18" s="7">
        <f>IF(AND(YEAR(MaySun1+14)=TheYear,MONTH(MaySun1+14)=5),MaySun1+14, "")</f>
        <v>42869</v>
      </c>
      <c r="L18" s="7">
        <f>IF(AND(YEAR(MaySun1+15)=TheYear,MONTH(MaySun1+15)=5),MaySun1+15, "")</f>
        <v>42870</v>
      </c>
      <c r="M18" s="7">
        <f>IF(AND(YEAR(MaySun1+16)=TheYear,MONTH(MaySun1+16)=5),MaySun1+16, "")</f>
        <v>42871</v>
      </c>
      <c r="N18" s="7">
        <f>IF(AND(YEAR(MaySun1+17)=TheYear,MONTH(MaySun1+17)=5),MaySun1+17, "")</f>
        <v>42872</v>
      </c>
      <c r="O18" s="7">
        <f>IF(AND(YEAR(MaySun1+18)=TheYear,MONTH(MaySun1+18)=5),MaySun1+18, "")</f>
        <v>42873</v>
      </c>
      <c r="P18" s="7">
        <f>IF(AND(YEAR(MaySun1+19)=TheYear,MONTH(MaySun1+19)=5),MaySun1+19, "")</f>
        <v>42874</v>
      </c>
      <c r="Q18" s="7">
        <f>IF(AND(YEAR(MaySun1+20)=TheYear,MONTH(MaySun1+20)=5),MaySun1+20, "")</f>
        <v>42875</v>
      </c>
      <c r="R18" s="8"/>
      <c r="S18" s="7">
        <f>IF(AND(YEAR(AugSun1+14)=TheYear,MONTH(AugSun1+14)=8),AugSun1+14, "")</f>
        <v>42960</v>
      </c>
      <c r="T18" s="7">
        <f>IF(AND(YEAR(AugSun1+15)=TheYear,MONTH(AugSun1+15)=8),AugSun1+15, "")</f>
        <v>42961</v>
      </c>
      <c r="U18" s="7">
        <f>IF(AND(YEAR(AugSun1+16)=TheYear,MONTH(AugSun1+16)=8),AugSun1+16, "")</f>
        <v>42962</v>
      </c>
      <c r="V18" s="7">
        <f>IF(AND(YEAR(AugSun1+17)=TheYear,MONTH(AugSun1+17)=8),AugSun1+17, "")</f>
        <v>42963</v>
      </c>
      <c r="W18" s="7">
        <f>IF(AND(YEAR(AugSun1+18)=TheYear,MONTH(AugSun1+18)=8),AugSun1+18, "")</f>
        <v>42964</v>
      </c>
      <c r="X18" s="7">
        <f>IF(AND(YEAR(AugSun1+19)=TheYear,MONTH(AugSun1+19)=8),AugSun1+19, "")</f>
        <v>42965</v>
      </c>
      <c r="Y18" s="7">
        <f>IF(AND(YEAR(AugSun1+20)=TheYear,MONTH(AugSun1+20)=8),AugSun1+20, "")</f>
        <v>42966</v>
      </c>
      <c r="Z18" s="8"/>
      <c r="AA18" s="7">
        <f>IF(AND(YEAR(NovSun1+14)=TheYear,MONTH(NovSun1+14)=11),NovSun1+14, "")</f>
        <v>43051</v>
      </c>
      <c r="AB18" s="7">
        <f>IF(AND(YEAR(NovSun1+15)=TheYear,MONTH(NovSun1+15)=11),NovSun1+15, "")</f>
        <v>43052</v>
      </c>
      <c r="AC18" s="7">
        <f>IF(AND(YEAR(NovSun1+16)=TheYear,MONTH(NovSun1+16)=11),NovSun1+16, "")</f>
        <v>43053</v>
      </c>
      <c r="AD18" s="7">
        <f>IF(AND(YEAR(NovSun1+17)=TheYear,MONTH(NovSun1+17)=11),NovSun1+17, "")</f>
        <v>43054</v>
      </c>
      <c r="AE18" s="7">
        <f>IF(AND(YEAR(NovSun1+18)=TheYear,MONTH(NovSun1+18)=11),NovSun1+18, "")</f>
        <v>43055</v>
      </c>
      <c r="AF18" s="7">
        <f>IF(AND(YEAR(NovSun1+19)=TheYear,MONTH(NovSun1+19)=11),NovSun1+19, "")</f>
        <v>43056</v>
      </c>
      <c r="AG18" s="7">
        <f>IF(AND(YEAR(NovSun1+20)=TheYear,MONTH(NovSun1+20)=11),NovSun1+20, "")</f>
        <v>43057</v>
      </c>
      <c r="AH18" s="6"/>
    </row>
    <row r="19" spans="2:34">
      <c r="B19" s="9"/>
      <c r="C19" s="7">
        <f>IF(AND(YEAR(FebSun1+21)=TheYear,MONTH(FebSun1+21)=2),FebSun1+21, "")</f>
        <v>42785</v>
      </c>
      <c r="D19" s="7">
        <f>IF(AND(YEAR(FebSun1+22)=TheYear,MONTH(FebSun1+22)=2),FebSun1+22, "")</f>
        <v>42786</v>
      </c>
      <c r="E19" s="7">
        <f>IF(AND(YEAR(FebSun1+23)=TheYear,MONTH(FebSun1+23)=2),FebSun1+23, "")</f>
        <v>42787</v>
      </c>
      <c r="F19" s="7">
        <f>IF(AND(YEAR(FebSun1+24)=TheYear,MONTH(FebSun1+24)=2),FebSun1+24, "")</f>
        <v>42788</v>
      </c>
      <c r="G19" s="7">
        <f>IF(AND(YEAR(FebSun1+25)=TheYear,MONTH(FebSun1+25)=2),FebSun1+25, "")</f>
        <v>42789</v>
      </c>
      <c r="H19" s="7">
        <f>IF(AND(YEAR(FebSun1+26)=TheYear,MONTH(FebSun1+26)=2),FebSun1+26, "")</f>
        <v>42790</v>
      </c>
      <c r="I19" s="7">
        <f>IF(AND(YEAR(FebSun1+27)=TheYear,MONTH(FebSun1+27)=2),FebSun1+27, "")</f>
        <v>42791</v>
      </c>
      <c r="J19" s="8"/>
      <c r="K19" s="7">
        <f>IF(AND(YEAR(MaySun1+21)=TheYear,MONTH(MaySun1+21)=5),MaySun1+21, "")</f>
        <v>42876</v>
      </c>
      <c r="L19" s="7">
        <f>IF(AND(YEAR(MaySun1+22)=TheYear,MONTH(MaySun1+22)=5),MaySun1+22, "")</f>
        <v>42877</v>
      </c>
      <c r="M19" s="7">
        <f>IF(AND(YEAR(MaySun1+23)=TheYear,MONTH(MaySun1+23)=5),MaySun1+23, "")</f>
        <v>42878</v>
      </c>
      <c r="N19" s="7">
        <f>IF(AND(YEAR(MaySun1+24)=TheYear,MONTH(MaySun1+24)=5),MaySun1+24, "")</f>
        <v>42879</v>
      </c>
      <c r="O19" s="7">
        <f>IF(AND(YEAR(MaySun1+25)=TheYear,MONTH(MaySun1+25)=5),MaySun1+25, "")</f>
        <v>42880</v>
      </c>
      <c r="P19" s="7">
        <f>IF(AND(YEAR(MaySun1+26)=TheYear,MONTH(MaySun1+26)=5),MaySun1+26, "")</f>
        <v>42881</v>
      </c>
      <c r="Q19" s="7">
        <f>IF(AND(YEAR(MaySun1+27)=TheYear,MONTH(MaySun1+27)=5),MaySun1+27, "")</f>
        <v>42882</v>
      </c>
      <c r="R19" s="8"/>
      <c r="S19" s="7">
        <f>IF(AND(YEAR(AugSun1+21)=TheYear,MONTH(AugSun1+21)=8),AugSun1+21, "")</f>
        <v>42967</v>
      </c>
      <c r="T19" s="7">
        <f>IF(AND(YEAR(AugSun1+22)=TheYear,MONTH(AugSun1+22)=8),AugSun1+22, "")</f>
        <v>42968</v>
      </c>
      <c r="U19" s="7">
        <f>IF(AND(YEAR(AugSun1+23)=TheYear,MONTH(AugSun1+23)=8),AugSun1+23, "")</f>
        <v>42969</v>
      </c>
      <c r="V19" s="7">
        <f>IF(AND(YEAR(AugSun1+24)=TheYear,MONTH(AugSun1+24)=8),AugSun1+24, "")</f>
        <v>42970</v>
      </c>
      <c r="W19" s="7">
        <f>IF(AND(YEAR(AugSun1+25)=TheYear,MONTH(AugSun1+25)=8),AugSun1+25, "")</f>
        <v>42971</v>
      </c>
      <c r="X19" s="7">
        <f>IF(AND(YEAR(AugSun1+26)=TheYear,MONTH(AugSun1+26)=8),AugSun1+26, "")</f>
        <v>42972</v>
      </c>
      <c r="Y19" s="7">
        <f>IF(AND(YEAR(AugSun1+27)=TheYear,MONTH(AugSun1+27)=8),AugSun1+27, "")</f>
        <v>42973</v>
      </c>
      <c r="Z19" s="8"/>
      <c r="AA19" s="7">
        <f>IF(AND(YEAR(NovSun1+21)=TheYear,MONTH(NovSun1+21)=11),NovSun1+21, "")</f>
        <v>43058</v>
      </c>
      <c r="AB19" s="7">
        <f>IF(AND(YEAR(NovSun1+22)=TheYear,MONTH(NovSun1+22)=11),NovSun1+22, "")</f>
        <v>43059</v>
      </c>
      <c r="AC19" s="7">
        <f>IF(AND(YEAR(NovSun1+23)=TheYear,MONTH(NovSun1+23)=11),NovSun1+23, "")</f>
        <v>43060</v>
      </c>
      <c r="AD19" s="7">
        <f>IF(AND(YEAR(NovSun1+24)=TheYear,MONTH(NovSun1+24)=11),NovSun1+24, "")</f>
        <v>43061</v>
      </c>
      <c r="AE19" s="7">
        <f>IF(AND(YEAR(NovSun1+25)=TheYear,MONTH(NovSun1+25)=11),NovSun1+25, "")</f>
        <v>43062</v>
      </c>
      <c r="AF19" s="7">
        <f>IF(AND(YEAR(NovSun1+26)=TheYear,MONTH(NovSun1+26)=11),NovSun1+26, "")</f>
        <v>43063</v>
      </c>
      <c r="AG19" s="7">
        <f>IF(AND(YEAR(NovSun1+27)=TheYear,MONTH(NovSun1+27)=11),NovSun1+27, "")</f>
        <v>43064</v>
      </c>
      <c r="AH19" s="6"/>
    </row>
    <row r="20" spans="2:34">
      <c r="B20" s="9"/>
      <c r="C20" s="7">
        <f>IF(AND(YEAR(FebSun1+28)=TheYear,MONTH(FebSun1+28)=2),FebSun1+28, "")</f>
        <v>42792</v>
      </c>
      <c r="D20" s="7">
        <f>IF(AND(YEAR(FebSun1+29)=TheYear,MONTH(FebSun1+29)=2),FebSun1+29, "")</f>
        <v>42793</v>
      </c>
      <c r="E20" s="7">
        <f>IF(AND(YEAR(FebSun1+30)=TheYear,MONTH(FebSun1+30)=2),FebSun1+30, "")</f>
        <v>42794</v>
      </c>
      <c r="F20" s="7" t="str">
        <f>IF(AND(YEAR(FebSun1+31)=TheYear,MONTH(FebSun1+31)=2),FebSun1+31, "")</f>
        <v/>
      </c>
      <c r="G20" s="7" t="str">
        <f>IF(AND(YEAR(FebSun1+32)=TheYear,MONTH(FebSun1+32)=2),FebSun1+32, "")</f>
        <v/>
      </c>
      <c r="H20" s="7" t="str">
        <f>IF(AND(YEAR(FebSun1+33)=TheYear,MONTH(FebSun1+33)=2),FebSun1+33, "")</f>
        <v/>
      </c>
      <c r="I20" s="7" t="str">
        <f>IF(AND(YEAR(FebSun1+34)=TheYear,MONTH(FebSun1+34)=2),FebSun1+34, "")</f>
        <v/>
      </c>
      <c r="J20" s="8"/>
      <c r="K20" s="7">
        <f>IF(AND(YEAR(MaySun1+28)=TheYear,MONTH(MaySun1+28)=5),MaySun1+28, "")</f>
        <v>42883</v>
      </c>
      <c r="L20" s="7">
        <f>IF(AND(YEAR(MaySun1+29)=TheYear,MONTH(MaySun1+29)=5),MaySun1+29, "")</f>
        <v>42884</v>
      </c>
      <c r="M20" s="7">
        <f>IF(AND(YEAR(MaySun1+30)=TheYear,MONTH(MaySun1+30)=5),MaySun1+30, "")</f>
        <v>42885</v>
      </c>
      <c r="N20" s="7">
        <f>IF(AND(YEAR(MaySun1+31)=TheYear,MONTH(MaySun1+31)=5),MaySun1+31, "")</f>
        <v>42886</v>
      </c>
      <c r="O20" s="7" t="str">
        <f>IF(AND(YEAR(MaySun1+32)=TheYear,MONTH(MaySun1+32)=5),MaySun1+32, "")</f>
        <v/>
      </c>
      <c r="P20" s="7" t="str">
        <f>IF(AND(YEAR(MaySun1+33)=TheYear,MONTH(MaySun1+33)=5),MaySun1+33, "")</f>
        <v/>
      </c>
      <c r="Q20" s="7" t="str">
        <f>IF(AND(YEAR(MaySun1+34)=TheYear,MONTH(MaySun1+34)=5),MaySun1+34, "")</f>
        <v/>
      </c>
      <c r="R20" s="8"/>
      <c r="S20" s="7">
        <f>IF(AND(YEAR(AugSun1+28)=TheYear,MONTH(AugSun1+28)=8),AugSun1+28, "")</f>
        <v>42974</v>
      </c>
      <c r="T20" s="7">
        <f>IF(AND(YEAR(AugSun1+29)=TheYear,MONTH(AugSun1+29)=8),AugSun1+29, "")</f>
        <v>42975</v>
      </c>
      <c r="U20" s="7">
        <f>IF(AND(YEAR(AugSun1+30)=TheYear,MONTH(AugSun1+30)=8),AugSun1+30, "")</f>
        <v>42976</v>
      </c>
      <c r="V20" s="7">
        <f>IF(AND(YEAR(AugSun1+31)=TheYear,MONTH(AugSun1+31)=8),AugSun1+31, "")</f>
        <v>42977</v>
      </c>
      <c r="W20" s="7">
        <f>IF(AND(YEAR(AugSun1+32)=TheYear,MONTH(AugSun1+32)=8),AugSun1+32, "")</f>
        <v>42978</v>
      </c>
      <c r="X20" s="7" t="str">
        <f>IF(AND(YEAR(AugSun1+33)=TheYear,MONTH(AugSun1+33)=8),AugSun1+33, "")</f>
        <v/>
      </c>
      <c r="Y20" s="7" t="str">
        <f>IF(AND(YEAR(AugSun1+34)=TheYear,MONTH(AugSun1+34)=8),AugSun1+34, "")</f>
        <v/>
      </c>
      <c r="Z20" s="8"/>
      <c r="AA20" s="7">
        <f>IF(AND(YEAR(NovSun1+28)=TheYear,MONTH(NovSun1+28)=11),NovSun1+28, "")</f>
        <v>43065</v>
      </c>
      <c r="AB20" s="7">
        <f>IF(AND(YEAR(NovSun1+29)=TheYear,MONTH(NovSun1+29)=11),NovSun1+29, "")</f>
        <v>43066</v>
      </c>
      <c r="AC20" s="7">
        <f>IF(AND(YEAR(NovSun1+30)=TheYear,MONTH(NovSun1+30)=11),NovSun1+30, "")</f>
        <v>43067</v>
      </c>
      <c r="AD20" s="7">
        <f>IF(AND(YEAR(NovSun1+31)=TheYear,MONTH(NovSun1+31)=11),NovSun1+31, "")</f>
        <v>43068</v>
      </c>
      <c r="AE20" s="7">
        <f>IF(AND(YEAR(NovSun1+32)=TheYear,MONTH(NovSun1+32)=11),NovSun1+32, "")</f>
        <v>43069</v>
      </c>
      <c r="AF20" s="7" t="str">
        <f>IF(AND(YEAR(NovSun1+33)=TheYear,MONTH(NovSun1+33)=11),NovSun1+33, "")</f>
        <v/>
      </c>
      <c r="AG20" s="7" t="str">
        <f>IF(AND(YEAR(NovSun1+34)=TheYear,MONTH(NovSun1+34)=11),NovSun1+34, "")</f>
        <v/>
      </c>
      <c r="AH20" s="6"/>
    </row>
    <row r="21" spans="2:34">
      <c r="B21" s="9"/>
      <c r="C21" s="7" t="str">
        <f>IF(AND(YEAR(FebSun1+35)=TheYear,MONTH(FebSun1+35)=2),FebSun1+35, "")</f>
        <v/>
      </c>
      <c r="D21" s="7" t="str">
        <f>IF(AND(YEAR(FebSun1+36)=TheYear,MONTH(FebSun1+36)=2),FebSun1+36, "")</f>
        <v/>
      </c>
      <c r="E21" s="7" t="str">
        <f>IF(AND(YEAR(FebSun1+37)=TheYear,MONTH(FebSun1+37)=2),FebSun1+37, "")</f>
        <v/>
      </c>
      <c r="F21" s="7" t="str">
        <f>IF(AND(YEAR(FebSun1+38)=TheYear,MONTH(FebSun1+38)=2),FebSun1+38, "")</f>
        <v/>
      </c>
      <c r="G21" s="7" t="str">
        <f>IF(AND(YEAR(FebSun1+39)=TheYear,MONTH(FebSun1+39)=2),FebSun1+39, "")</f>
        <v/>
      </c>
      <c r="H21" s="7" t="str">
        <f>IF(AND(YEAR(FebSun1+40)=TheYear,MONTH(FebSun1+40)=2),FebSun1+40, "")</f>
        <v/>
      </c>
      <c r="I21" s="7" t="str">
        <f>IF(AND(YEAR(FebSun1+41)=TheYear,MONTH(FebSun1+41)=2),FebSun1+41, "")</f>
        <v/>
      </c>
      <c r="J21" s="8"/>
      <c r="K21" s="7" t="str">
        <f>IF(AND(YEAR(MaySun1+35)=TheYear,MONTH(MaySun1+35)=5),MaySun1+35, "")</f>
        <v/>
      </c>
      <c r="L21" s="7" t="str">
        <f>IF(AND(YEAR(MaySun1+36)=TheYear,MONTH(MaySun1+36)=5),MaySun1+36, "")</f>
        <v/>
      </c>
      <c r="M21" s="7" t="str">
        <f>IF(AND(YEAR(MaySun1+37)=TheYear,MONTH(MaySun1+37)=5),MaySun1+37, "")</f>
        <v/>
      </c>
      <c r="N21" s="7" t="str">
        <f>IF(AND(YEAR(MaySun1+38)=TheYear,MONTH(MaySun1+38)=5),MaySun1+38, "")</f>
        <v/>
      </c>
      <c r="O21" s="7" t="str">
        <f>IF(AND(YEAR(MaySun1+39)=TheYear,MONTH(MaySun1+39)=5),MaySun1+39, "")</f>
        <v/>
      </c>
      <c r="P21" s="7" t="str">
        <f>IF(AND(YEAR(MaySun1+40)=TheYear,MONTH(MaySun1+40)=5),MaySun1+40, "")</f>
        <v/>
      </c>
      <c r="Q21" s="7" t="str">
        <f>IF(AND(YEAR(MaySun1+41)=TheYear,MONTH(MaySun1+41)=5),MaySun1+41, "")</f>
        <v/>
      </c>
      <c r="R21" s="8"/>
      <c r="S21" s="7" t="str">
        <f>IF(AND(YEAR(AugSun1+35)=TheYear,MONTH(AugSun1+35)=8),AugSun1+35, "")</f>
        <v/>
      </c>
      <c r="T21" s="7" t="str">
        <f>IF(AND(YEAR(AugSun1+36)=TheYear,MONTH(AugSun1+36)=8),AugSun1+36, "")</f>
        <v/>
      </c>
      <c r="U21" s="7" t="str">
        <f>IF(AND(YEAR(AugSun1+37)=TheYear,MONTH(AugSun1+37)=8),AugSun1+37, "")</f>
        <v/>
      </c>
      <c r="V21" s="7" t="str">
        <f>IF(AND(YEAR(AugSun1+38)=TheYear,MONTH(AugSun1+38)=8),AugSun1+38, "")</f>
        <v/>
      </c>
      <c r="W21" s="7" t="str">
        <f>IF(AND(YEAR(AugSun1+39)=TheYear,MONTH(AugSun1+39)=8),AugSun1+39, "")</f>
        <v/>
      </c>
      <c r="X21" s="7" t="str">
        <f>IF(AND(YEAR(AugSun1+40)=TheYear,MONTH(AugSun1+40)=8),AugSun1+40, "")</f>
        <v/>
      </c>
      <c r="Y21" s="7" t="str">
        <f>IF(AND(YEAR(AugSun1+41)=TheYear,MONTH(AugSun1+41)=8),AugSun1+41, "")</f>
        <v/>
      </c>
      <c r="Z21" s="8"/>
      <c r="AA21" s="7" t="str">
        <f>IF(AND(YEAR(NovSun1+35)=TheYear,MONTH(NovSun1+35)=11),NovSun1+35, "")</f>
        <v/>
      </c>
      <c r="AB21" s="7" t="str">
        <f>IF(AND(YEAR(NovSun1+36)=TheYear,MONTH(NovSun1+36)=11),NovSun1+36, "")</f>
        <v/>
      </c>
      <c r="AC21" s="7" t="str">
        <f>IF(AND(YEAR(NovSun1+37)=TheYear,MONTH(NovSun1+37)=11),NovSun1+37, "")</f>
        <v/>
      </c>
      <c r="AD21" s="7" t="str">
        <f>IF(AND(YEAR(NovSun1+38)=TheYear,MONTH(NovSun1+38)=11),NovSun1+38, "")</f>
        <v/>
      </c>
      <c r="AE21" s="7" t="str">
        <f>IF(AND(YEAR(NovSun1+39)=TheYear,MONTH(NovSun1+39)=11),NovSun1+39, "")</f>
        <v/>
      </c>
      <c r="AF21" s="7" t="str">
        <f>IF(AND(YEAR(NovSun1+40)=TheYear,MONTH(NovSun1+40)=11),NovSun1+40, "")</f>
        <v/>
      </c>
      <c r="AG21" s="7" t="str">
        <f>IF(AND(YEAR(NovSun1+41)=TheYear,MONTH(NovSun1+41)=11),NovSun1+41, "")</f>
        <v/>
      </c>
      <c r="AH21" s="6"/>
    </row>
    <row r="22" spans="2:34" ht="4.5" customHeight="1">
      <c r="B22" s="9"/>
      <c r="C22" s="13"/>
      <c r="D22" s="13"/>
      <c r="E22" s="13"/>
      <c r="F22" s="13"/>
      <c r="G22" s="13"/>
      <c r="H22" s="13"/>
      <c r="I22" s="13"/>
      <c r="J22" s="8"/>
      <c r="K22" s="13"/>
      <c r="L22" s="13"/>
      <c r="M22" s="13"/>
      <c r="N22" s="13"/>
      <c r="O22" s="13"/>
      <c r="P22" s="13"/>
      <c r="Q22" s="13"/>
      <c r="R22" s="8"/>
      <c r="S22" s="13"/>
      <c r="T22" s="13"/>
      <c r="U22" s="13"/>
      <c r="V22" s="13"/>
      <c r="W22" s="13"/>
      <c r="X22" s="13"/>
      <c r="Y22" s="13"/>
      <c r="Z22" s="8"/>
      <c r="AA22" s="13"/>
      <c r="AB22" s="13"/>
      <c r="AC22" s="13"/>
      <c r="AD22" s="13"/>
      <c r="AE22" s="13"/>
      <c r="AF22" s="13"/>
      <c r="AG22" s="13"/>
      <c r="AH22" s="6"/>
    </row>
    <row r="23" spans="2:34">
      <c r="B23" s="9"/>
      <c r="C23" s="54" t="s">
        <v>31</v>
      </c>
      <c r="D23" s="54"/>
      <c r="E23" s="54"/>
      <c r="F23" s="54"/>
      <c r="G23" s="54"/>
      <c r="H23" s="54"/>
      <c r="I23" s="54"/>
      <c r="J23" s="8"/>
      <c r="K23" s="54" t="s">
        <v>30</v>
      </c>
      <c r="L23" s="54"/>
      <c r="M23" s="54"/>
      <c r="N23" s="54"/>
      <c r="O23" s="54"/>
      <c r="P23" s="54"/>
      <c r="Q23" s="54"/>
      <c r="R23" s="8"/>
      <c r="S23" s="54" t="s">
        <v>29</v>
      </c>
      <c r="T23" s="54"/>
      <c r="U23" s="54"/>
      <c r="V23" s="54"/>
      <c r="W23" s="54"/>
      <c r="X23" s="54"/>
      <c r="Y23" s="54"/>
      <c r="Z23" s="8"/>
      <c r="AA23" s="54" t="s">
        <v>28</v>
      </c>
      <c r="AB23" s="54"/>
      <c r="AC23" s="54"/>
      <c r="AD23" s="54"/>
      <c r="AE23" s="54"/>
      <c r="AF23" s="54"/>
      <c r="AG23" s="54"/>
      <c r="AH23" s="6"/>
    </row>
    <row r="24" spans="2:34">
      <c r="B24" s="9"/>
      <c r="C24" s="12" t="s">
        <v>23</v>
      </c>
      <c r="D24" s="11" t="s">
        <v>27</v>
      </c>
      <c r="E24" s="11" t="s">
        <v>25</v>
      </c>
      <c r="F24" s="11" t="s">
        <v>26</v>
      </c>
      <c r="G24" s="11" t="s">
        <v>25</v>
      </c>
      <c r="H24" s="11" t="s">
        <v>24</v>
      </c>
      <c r="I24" s="10" t="s">
        <v>23</v>
      </c>
      <c r="J24" s="8"/>
      <c r="K24" s="12" t="s">
        <v>23</v>
      </c>
      <c r="L24" s="11" t="s">
        <v>27</v>
      </c>
      <c r="M24" s="11" t="s">
        <v>25</v>
      </c>
      <c r="N24" s="11" t="s">
        <v>26</v>
      </c>
      <c r="O24" s="11" t="s">
        <v>25</v>
      </c>
      <c r="P24" s="11" t="s">
        <v>24</v>
      </c>
      <c r="Q24" s="10" t="s">
        <v>23</v>
      </c>
      <c r="R24" s="8"/>
      <c r="S24" s="12" t="s">
        <v>23</v>
      </c>
      <c r="T24" s="11" t="s">
        <v>27</v>
      </c>
      <c r="U24" s="11" t="s">
        <v>25</v>
      </c>
      <c r="V24" s="11" t="s">
        <v>26</v>
      </c>
      <c r="W24" s="11" t="s">
        <v>25</v>
      </c>
      <c r="X24" s="11" t="s">
        <v>24</v>
      </c>
      <c r="Y24" s="10" t="s">
        <v>23</v>
      </c>
      <c r="Z24" s="8"/>
      <c r="AA24" s="12"/>
      <c r="AB24" s="11" t="s">
        <v>27</v>
      </c>
      <c r="AC24" s="11" t="s">
        <v>25</v>
      </c>
      <c r="AD24" s="11" t="s">
        <v>26</v>
      </c>
      <c r="AE24" s="11" t="s">
        <v>25</v>
      </c>
      <c r="AF24" s="11" t="s">
        <v>24</v>
      </c>
      <c r="AG24" s="10" t="s">
        <v>23</v>
      </c>
      <c r="AH24" s="6"/>
    </row>
    <row r="25" spans="2:34">
      <c r="B25" s="9"/>
      <c r="C25" s="7" t="str">
        <f>IF(AND(YEAR(MarSun1)=TheYear,MONTH(MarSun1)=3),MarSun1, "")</f>
        <v/>
      </c>
      <c r="D25" s="7" t="str">
        <f>IF(AND(YEAR(MarSun1+1)=TheYear,MONTH(MarSun1+1)=3),MarSun1+1, "")</f>
        <v/>
      </c>
      <c r="E25" s="7" t="str">
        <f>IF(AND(YEAR(MarSun1+2)=TheYear,MONTH(MarSun1+2)=3),MarSun1+2, "")</f>
        <v/>
      </c>
      <c r="F25" s="7">
        <f>IF(AND(YEAR(MarSun1+3)=TheYear,MONTH(MarSun1+3)=3),MarSun1+3, "")</f>
        <v>42795</v>
      </c>
      <c r="G25" s="7">
        <f>IF(AND(YEAR(MarSun1+4)=TheYear,MONTH(MarSun1+4)=3),MarSun1+4, "")</f>
        <v>42796</v>
      </c>
      <c r="H25" s="7">
        <f>IF(AND(YEAR(MarSun1+5)=TheYear,MONTH(MarSun1+5)=3),MarSun1+5, "")</f>
        <v>42797</v>
      </c>
      <c r="I25" s="7">
        <f>IF(AND(YEAR(MarSun1+6)=TheYear,MONTH(MarSun1+6)=3),MarSun1+6, "")</f>
        <v>42798</v>
      </c>
      <c r="J25" s="8"/>
      <c r="K25" s="7" t="str">
        <f>IF(AND(YEAR(JunSun1)=TheYear,MONTH(JunSun1)=6),JunSun1, "")</f>
        <v/>
      </c>
      <c r="L25" s="7" t="str">
        <f>IF(AND(YEAR(JunSun1+1)=TheYear,MONTH(JunSun1+1)=6),JunSun1+1, "")</f>
        <v/>
      </c>
      <c r="M25" s="7" t="str">
        <f>IF(AND(YEAR(JunSun1+2)=TheYear,MONTH(JunSun1+2)=6),JunSun1+2, "")</f>
        <v/>
      </c>
      <c r="N25" s="7" t="str">
        <f>IF(AND(YEAR(JunSun1+3)=TheYear,MONTH(JunSun1+3)=6),JunSun1+3, "")</f>
        <v/>
      </c>
      <c r="O25" s="7">
        <f>IF(AND(YEAR(JunSun1+4)=TheYear,MONTH(JunSun1+4)=6),JunSun1+4, "")</f>
        <v>42887</v>
      </c>
      <c r="P25" s="7">
        <f>IF(AND(YEAR(JunSun1+5)=TheYear,MONTH(JunSun1+5)=6),JunSun1+5, "")</f>
        <v>42888</v>
      </c>
      <c r="Q25" s="7">
        <f>IF(AND(YEAR(JunSun1+6)=TheYear,MONTH(JunSun1+6)=6),JunSun1+6, "")</f>
        <v>42889</v>
      </c>
      <c r="R25" s="8"/>
      <c r="S25" s="7" t="str">
        <f>IF(AND(YEAR(SepSun1)=TheYear,MONTH(SepSun1)=9),SepSun1, "")</f>
        <v/>
      </c>
      <c r="T25" s="7" t="str">
        <f>IF(AND(YEAR(SepSun1+1)=TheYear,MONTH(SepSun1+1)=9),SepSun1+1, "")</f>
        <v/>
      </c>
      <c r="U25" s="7" t="str">
        <f>IF(AND(YEAR(SepSun1+2)=TheYear,MONTH(SepSun1+2)=9),SepSun1+2, "")</f>
        <v/>
      </c>
      <c r="V25" s="7" t="str">
        <f>IF(AND(YEAR(SepSun1+3)=TheYear,MONTH(SepSun1+3)=9),SepSun1+3, "")</f>
        <v/>
      </c>
      <c r="W25" s="7" t="str">
        <f>IF(AND(YEAR(SepSun1+4)=TheYear,MONTH(SepSun1+4)=9),SepSun1+4, "")</f>
        <v/>
      </c>
      <c r="X25" s="7" t="str">
        <f>IF(AND(YEAR(SepSun1+5)=TheYear,MONTH(SepSun1+5)=9),SepSun1+5, "")</f>
        <v/>
      </c>
      <c r="Y25" s="7" t="str">
        <f>IF(AND(YEAR(SepSun1+6)=TheYear,MONTH(SepSun1+6)=9),SepSun1+6, "")</f>
        <v/>
      </c>
      <c r="Z25" s="8"/>
      <c r="AA25" s="7" t="str">
        <f>IF(AND(YEAR(DecSun1)=TheYear,MONTH(DecSun1)=12),DecSun1, "")</f>
        <v/>
      </c>
      <c r="AB25" s="7" t="str">
        <f>IF(AND(YEAR(DecSun1+1)=TheYear,MONTH(DecSun1+1)=12),DecSun1+1, "")</f>
        <v/>
      </c>
      <c r="AC25" s="7" t="str">
        <f>IF(AND(YEAR(DecSun1+2)=TheYear,MONTH(DecSun1+2)=12),DecSun1+2, "")</f>
        <v/>
      </c>
      <c r="AD25" s="7" t="str">
        <f>IF(AND(YEAR(DecSun1+3)=TheYear,MONTH(DecSun1+3)=12),DecSun1+3, "")</f>
        <v/>
      </c>
      <c r="AE25" s="7" t="str">
        <f>IF(AND(YEAR(DecSun1+4)=TheYear,MONTH(DecSun1+4)=12),DecSun1+4, "")</f>
        <v/>
      </c>
      <c r="AF25" s="7">
        <f>IF(AND(YEAR(DecSun1+5)=TheYear,MONTH(DecSun1+5)=12),DecSun1+5, "")</f>
        <v>43070</v>
      </c>
      <c r="AG25" s="7">
        <f>IF(AND(YEAR(DecSun1+6)=TheYear,MONTH(DecSun1+6)=12),DecSun1+6, "")</f>
        <v>43071</v>
      </c>
      <c r="AH25" s="6"/>
    </row>
    <row r="26" spans="2:34">
      <c r="B26" s="9"/>
      <c r="C26" s="7">
        <f>IF(AND(YEAR(MarSun1+7)=TheYear,MONTH(MarSun1+7)=3),MarSun1+7, "")</f>
        <v>42799</v>
      </c>
      <c r="D26" s="7">
        <f>IF(AND(YEAR(MarSun1+8)=TheYear,MONTH(MarSun1+8)=3),MarSun1+8, "")</f>
        <v>42800</v>
      </c>
      <c r="E26" s="7">
        <f>IF(AND(YEAR(MarSun1+9)=TheYear,MONTH(MarSun1+9)=3),MarSun1+9, "")</f>
        <v>42801</v>
      </c>
      <c r="F26" s="7">
        <f>IF(AND(YEAR(MarSun1+10)=TheYear,MONTH(MarSun1+10)=3),MarSun1+10, "")</f>
        <v>42802</v>
      </c>
      <c r="G26" s="7">
        <f>IF(AND(YEAR(MarSun1+11)=TheYear,MONTH(MarSun1+11)=3),MarSun1+11, "")</f>
        <v>42803</v>
      </c>
      <c r="H26" s="7">
        <f>IF(AND(YEAR(MarSun1+12)=TheYear,MONTH(MarSun1+12)=3),MarSun1+12, "")</f>
        <v>42804</v>
      </c>
      <c r="I26" s="7">
        <f>IF(AND(YEAR(MarSun1+13)=TheYear,MONTH(MarSun1+13)=3),MarSun1+13, "")</f>
        <v>42805</v>
      </c>
      <c r="J26" s="8"/>
      <c r="K26" s="7">
        <f>IF(AND(YEAR(JunSun1+7)=TheYear,MONTH(JunSun1+7)=6),JunSun1+7, "")</f>
        <v>42890</v>
      </c>
      <c r="L26" s="7">
        <f>IF(AND(YEAR(JunSun1+8)=TheYear,MONTH(JunSun1+8)=6),JunSun1+8, "")</f>
        <v>42891</v>
      </c>
      <c r="M26" s="7">
        <f>IF(AND(YEAR(JunSun1+9)=TheYear,MONTH(JunSun1+9)=6),JunSun1+9, "")</f>
        <v>42892</v>
      </c>
      <c r="N26" s="7">
        <f>IF(AND(YEAR(JunSun1+10)=TheYear,MONTH(JunSun1+10)=6),JunSun1+10, "")</f>
        <v>42893</v>
      </c>
      <c r="O26" s="7">
        <f>IF(AND(YEAR(JunSun1+11)=TheYear,MONTH(JunSun1+11)=6),JunSun1+11, "")</f>
        <v>42894</v>
      </c>
      <c r="P26" s="7">
        <f>IF(AND(YEAR(JunSun1+12)=TheYear,MONTH(JunSun1+12)=6),JunSun1+12, "")</f>
        <v>42895</v>
      </c>
      <c r="Q26" s="7">
        <f>IF(AND(YEAR(JunSun1+13)=TheYear,MONTH(JunSun1+13)=6),JunSun1+13, "")</f>
        <v>42896</v>
      </c>
      <c r="R26" s="8"/>
      <c r="S26" s="7" t="str">
        <f>IF(AND(YEAR(SepSun1+7)=TheYear,MONTH(SepSun1+7)=9),SepSun1+7, "")</f>
        <v/>
      </c>
      <c r="T26" s="7" t="str">
        <f>IF(AND(YEAR(SepSun1+8)=TheYear,MONTH(SepSun1+8)=9),SepSun1+8, "")</f>
        <v/>
      </c>
      <c r="U26" s="7" t="str">
        <f>IF(AND(YEAR(SepSun1+9)=TheYear,MONTH(SepSun1+9)=9),SepSun1+9, "")</f>
        <v/>
      </c>
      <c r="V26" s="7" t="str">
        <f>IF(AND(YEAR(SepSun1+10)=TheYear,MONTH(SepSun1+10)=9),SepSun1+10, "")</f>
        <v/>
      </c>
      <c r="W26" s="7" t="str">
        <f>IF(AND(YEAR(SepSun1+11)=TheYear,MONTH(SepSun1+11)=9),SepSun1+11, "")</f>
        <v/>
      </c>
      <c r="X26" s="7" t="str">
        <f>IF(AND(YEAR(SepSun1+12)=TheYear,MONTH(SepSun1+12)=9),SepSun1+12, "")</f>
        <v/>
      </c>
      <c r="Y26" s="7" t="str">
        <f>IF(AND(YEAR(SepSun1+13)=TheYear,MONTH(SepSun1+13)=9),SepSun1+13, "")</f>
        <v/>
      </c>
      <c r="Z26" s="8"/>
      <c r="AA26" s="7">
        <f>IF(AND(YEAR(DecSun1+7)=TheYear,MONTH(DecSun1+7)=12),DecSun1+7, "")</f>
        <v>43072</v>
      </c>
      <c r="AB26" s="7">
        <f>IF(AND(YEAR(DecSun1+8)=TheYear,MONTH(DecSun1+8)=12),DecSun1+8, "")</f>
        <v>43073</v>
      </c>
      <c r="AC26" s="7">
        <f>IF(AND(YEAR(DecSun1+9)=TheYear,MONTH(DecSun1+9)=12),DecSun1+9, "")</f>
        <v>43074</v>
      </c>
      <c r="AD26" s="7">
        <f>IF(AND(YEAR(DecSun1+10)=TheYear,MONTH(DecSun1+10)=12),DecSun1+10, "")</f>
        <v>43075</v>
      </c>
      <c r="AE26" s="7">
        <f>IF(AND(YEAR(DecSun1+11)=TheYear,MONTH(DecSun1+11)=12),DecSun1+11, "")</f>
        <v>43076</v>
      </c>
      <c r="AF26" s="7">
        <f>IF(AND(YEAR(DecSun1+12)=TheYear,MONTH(DecSun1+12)=12),DecSun1+12, "")</f>
        <v>43077</v>
      </c>
      <c r="AG26" s="7">
        <f>IF(AND(YEAR(DecSun1+13)=TheYear,MONTH(DecSun1+13)=12),DecSun1+13, "")</f>
        <v>43078</v>
      </c>
      <c r="AH26" s="6"/>
    </row>
    <row r="27" spans="2:34">
      <c r="B27" s="9"/>
      <c r="C27" s="7">
        <f>IF(AND(YEAR(MarSun1+14)=TheYear,MONTH(MarSun1+14)=3),MarSun1+14, "")</f>
        <v>42806</v>
      </c>
      <c r="D27" s="7">
        <f>IF(AND(YEAR(MarSun1+15)=TheYear,MONTH(MarSun1+15)=3),MarSun1+15, "")</f>
        <v>42807</v>
      </c>
      <c r="E27" s="7">
        <f>IF(AND(YEAR(MarSun1+16)=TheYear,MONTH(MarSun1+16)=3),MarSun1+16, "")</f>
        <v>42808</v>
      </c>
      <c r="F27" s="7">
        <f>IF(AND(YEAR(MarSun1+17)=TheYear,MONTH(MarSun1+17)=3),MarSun1+17, "")</f>
        <v>42809</v>
      </c>
      <c r="G27" s="7">
        <f>IF(AND(YEAR(MarSun1+18)=TheYear,MONTH(MarSun1+18)=3),MarSun1+18, "")</f>
        <v>42810</v>
      </c>
      <c r="H27" s="7">
        <f>IF(AND(YEAR(MarSun1+19)=TheYear,MONTH(MarSun1+19)=3),MarSun1+19, "")</f>
        <v>42811</v>
      </c>
      <c r="I27" s="7">
        <f>IF(AND(YEAR(MarSun1+20)=TheYear,MONTH(MarSun1+20)=3),MarSun1+20, "")</f>
        <v>42812</v>
      </c>
      <c r="J27" s="8"/>
      <c r="K27" s="7">
        <f>IF(AND(YEAR(JunSun1+14)=TheYear,MONTH(JunSun1+14)=6),JunSun1+14, "")</f>
        <v>42897</v>
      </c>
      <c r="L27" s="7">
        <f>IF(AND(YEAR(JunSun1+15)=TheYear,MONTH(JunSun1+15)=6),JunSun1+15, "")</f>
        <v>42898</v>
      </c>
      <c r="M27" s="7">
        <f>IF(AND(YEAR(JunSun1+16)=TheYear,MONTH(JunSun1+16)=6),JunSun1+16, "")</f>
        <v>42899</v>
      </c>
      <c r="N27" s="7">
        <f>IF(AND(YEAR(JunSun1+17)=TheYear,MONTH(JunSun1+17)=6),JunSun1+17, "")</f>
        <v>42900</v>
      </c>
      <c r="O27" s="7">
        <f>IF(AND(YEAR(JunSun1+18)=TheYear,MONTH(JunSun1+18)=6),JunSun1+18, "")</f>
        <v>42901</v>
      </c>
      <c r="P27" s="7">
        <f>IF(AND(YEAR(JunSun1+19)=TheYear,MONTH(JunSun1+19)=6),JunSun1+19, "")</f>
        <v>42902</v>
      </c>
      <c r="Q27" s="7">
        <f>IF(AND(YEAR(JunSun1+20)=TheYear,MONTH(JunSun1+20)=6),JunSun1+20, "")</f>
        <v>42903</v>
      </c>
      <c r="R27" s="8"/>
      <c r="S27" s="7" t="str">
        <f>IF(AND(YEAR(SepSun1+14)=TheYear,MONTH(SepSun1+14)=9),SepSun1+14, "")</f>
        <v/>
      </c>
      <c r="T27" s="7" t="str">
        <f>IF(AND(YEAR(SepSun1+15)=TheYear,MONTH(SepSun1+15)=9),SepSun1+15, "")</f>
        <v/>
      </c>
      <c r="U27" s="7" t="str">
        <f>IF(AND(YEAR(SepSun1+16)=TheYear,MONTH(SepSun1+16)=9),SepSun1+16, "")</f>
        <v/>
      </c>
      <c r="V27" s="7" t="str">
        <f>IF(AND(YEAR(SepSun1+17)=TheYear,MONTH(SepSun1+17)=9),SepSun1+17, "")</f>
        <v/>
      </c>
      <c r="W27" s="7" t="str">
        <f>IF(AND(YEAR(SepSun1+18)=TheYear,MONTH(SepSun1+18)=9),SepSun1+18, "")</f>
        <v/>
      </c>
      <c r="X27" s="7" t="str">
        <f>IF(AND(YEAR(SepSun1+19)=TheYear,MONTH(SepSun1+19)=9),SepSun1+19, "")</f>
        <v/>
      </c>
      <c r="Y27" s="7" t="str">
        <f>IF(AND(YEAR(SepSun1+20)=TheYear,MONTH(SepSun1+20)=9),SepSun1+20, "")</f>
        <v/>
      </c>
      <c r="Z27" s="8"/>
      <c r="AA27" s="7">
        <f>IF(AND(YEAR(DecSun1+14)=TheYear,MONTH(DecSun1+14)=12),DecSun1+14, "")</f>
        <v>43079</v>
      </c>
      <c r="AB27" s="7">
        <f>IF(AND(YEAR(DecSun1+15)=TheYear,MONTH(DecSun1+15)=12),DecSun1+15, "")</f>
        <v>43080</v>
      </c>
      <c r="AC27" s="7">
        <f>IF(AND(YEAR(DecSun1+16)=TheYear,MONTH(DecSun1+16)=12),DecSun1+16, "")</f>
        <v>43081</v>
      </c>
      <c r="AD27" s="7">
        <f>IF(AND(YEAR(DecSun1+17)=TheYear,MONTH(DecSun1+17)=12),DecSun1+17, "")</f>
        <v>43082</v>
      </c>
      <c r="AE27" s="7">
        <f>IF(AND(YEAR(DecSun1+18)=TheYear,MONTH(DecSun1+18)=12),DecSun1+18, "")</f>
        <v>43083</v>
      </c>
      <c r="AF27" s="7">
        <f>IF(AND(YEAR(DecSun1+19)=TheYear,MONTH(DecSun1+19)=12),DecSun1+19, "")</f>
        <v>43084</v>
      </c>
      <c r="AG27" s="7">
        <f>IF(AND(YEAR(DecSun1+20)=TheYear,MONTH(DecSun1+20)=12),DecSun1+20, "")</f>
        <v>43085</v>
      </c>
      <c r="AH27" s="6"/>
    </row>
    <row r="28" spans="2:34">
      <c r="B28" s="9"/>
      <c r="C28" s="7">
        <f>IF(AND(YEAR(MarSun1+21)=TheYear,MONTH(MarSun1+21)=3),MarSun1+21, "")</f>
        <v>42813</v>
      </c>
      <c r="D28" s="7">
        <f>IF(AND(YEAR(MarSun1+22)=TheYear,MONTH(MarSun1+22)=3),MarSun1+22, "")</f>
        <v>42814</v>
      </c>
      <c r="E28" s="7">
        <f>IF(AND(YEAR(MarSun1+23)=TheYear,MONTH(MarSun1+23)=3),MarSun1+23, "")</f>
        <v>42815</v>
      </c>
      <c r="F28" s="7">
        <f>IF(AND(YEAR(MarSun1+24)=TheYear,MONTH(MarSun1+24)=3),MarSun1+24, "")</f>
        <v>42816</v>
      </c>
      <c r="G28" s="7">
        <f>IF(AND(YEAR(MarSun1+25)=TheYear,MONTH(MarSun1+25)=3),MarSun1+25, "")</f>
        <v>42817</v>
      </c>
      <c r="H28" s="7">
        <f>IF(AND(YEAR(MarSun1+26)=TheYear,MONTH(MarSun1+26)=3),MarSun1+26, "")</f>
        <v>42818</v>
      </c>
      <c r="I28" s="7">
        <f>IF(AND(YEAR(MarSun1+27)=TheYear,MONTH(MarSun1+27)=3),MarSun1+27, "")</f>
        <v>42819</v>
      </c>
      <c r="J28" s="8"/>
      <c r="K28" s="7">
        <f>IF(AND(YEAR(JunSun1+21)=TheYear,MONTH(JunSun1+21)=6),JunSun1+21, "")</f>
        <v>42904</v>
      </c>
      <c r="L28" s="7">
        <f>IF(AND(YEAR(JunSun1+22)=TheYear,MONTH(JunSun1+22)=6),JunSun1+22, "")</f>
        <v>42905</v>
      </c>
      <c r="M28" s="7">
        <f>IF(AND(YEAR(JunSun1+23)=TheYear,MONTH(JunSun1+23)=6),JunSun1+23, "")</f>
        <v>42906</v>
      </c>
      <c r="N28" s="7">
        <f>IF(AND(YEAR(JunSun1+24)=TheYear,MONTH(JunSun1+24)=6),JunSun1+24, "")</f>
        <v>42907</v>
      </c>
      <c r="O28" s="7">
        <f>IF(AND(YEAR(JunSun1+25)=TheYear,MONTH(JunSun1+25)=6),JunSun1+25, "")</f>
        <v>42908</v>
      </c>
      <c r="P28" s="7">
        <f>IF(AND(YEAR(JunSun1+26)=TheYear,MONTH(JunSun1+26)=6),JunSun1+26, "")</f>
        <v>42909</v>
      </c>
      <c r="Q28" s="7">
        <f>IF(AND(YEAR(JunSun1+27)=TheYear,MONTH(JunSun1+27)=6),JunSun1+27, "")</f>
        <v>42910</v>
      </c>
      <c r="R28" s="8"/>
      <c r="S28" s="7" t="str">
        <f>IF(AND(YEAR(SepSun1+21)=TheYear,MONTH(SepSun1+21)=9),SepSun1+21, "")</f>
        <v/>
      </c>
      <c r="T28" s="7" t="str">
        <f>IF(AND(YEAR(SepSun1+22)=TheYear,MONTH(SepSun1+22)=9),SepSun1+22, "")</f>
        <v/>
      </c>
      <c r="U28" s="7" t="str">
        <f>IF(AND(YEAR(SepSun1+23)=TheYear,MONTH(SepSun1+23)=9),SepSun1+23, "")</f>
        <v/>
      </c>
      <c r="V28" s="7" t="str">
        <f>IF(AND(YEAR(SepSun1+24)=TheYear,MONTH(SepSun1+24)=9),SepSun1+24, "")</f>
        <v/>
      </c>
      <c r="W28" s="7" t="str">
        <f>IF(AND(YEAR(SepSun1+25)=TheYear,MONTH(SepSun1+25)=9),SepSun1+25, "")</f>
        <v/>
      </c>
      <c r="X28" s="7" t="str">
        <f>IF(AND(YEAR(SepSun1+26)=TheYear,MONTH(SepSun1+26)=9),SepSun1+26, "")</f>
        <v/>
      </c>
      <c r="Y28" s="7" t="str">
        <f>IF(AND(YEAR(SepSun1+27)=TheYear,MONTH(SepSun1+27)=9),SepSun1+27, "")</f>
        <v/>
      </c>
      <c r="Z28" s="8"/>
      <c r="AA28" s="7">
        <f>IF(AND(YEAR(DecSun1+21)=TheYear,MONTH(DecSun1+21)=12),DecSun1+21, "")</f>
        <v>43086</v>
      </c>
      <c r="AB28" s="7">
        <f>IF(AND(YEAR(DecSun1+22)=TheYear,MONTH(DecSun1+22)=12),DecSun1+22, "")</f>
        <v>43087</v>
      </c>
      <c r="AC28" s="7">
        <f>IF(AND(YEAR(DecSun1+23)=TheYear,MONTH(DecSun1+23)=12),DecSun1+23, "")</f>
        <v>43088</v>
      </c>
      <c r="AD28" s="7">
        <f>IF(AND(YEAR(DecSun1+24)=TheYear,MONTH(DecSun1+24)=12),DecSun1+24, "")</f>
        <v>43089</v>
      </c>
      <c r="AE28" s="7">
        <f>IF(AND(YEAR(DecSun1+25)=TheYear,MONTH(DecSun1+25)=12),DecSun1+25, "")</f>
        <v>43090</v>
      </c>
      <c r="AF28" s="7">
        <f>IF(AND(YEAR(DecSun1+26)=TheYear,MONTH(DecSun1+26)=12),DecSun1+26, "")</f>
        <v>43091</v>
      </c>
      <c r="AG28" s="7">
        <f>IF(AND(YEAR(DecSun1+27)=TheYear,MONTH(DecSun1+27)=12),DecSun1+27, "")</f>
        <v>43092</v>
      </c>
      <c r="AH28" s="6"/>
    </row>
    <row r="29" spans="2:34">
      <c r="B29" s="9"/>
      <c r="C29" s="7">
        <f>IF(AND(YEAR(MarSun1+28)=TheYear,MONTH(MarSun1+28)=3),MarSun1+28, "")</f>
        <v>42820</v>
      </c>
      <c r="D29" s="7">
        <f>IF(AND(YEAR(MarSun1+29)=TheYear,MONTH(MarSun1+29)=3),MarSun1+29, "")</f>
        <v>42821</v>
      </c>
      <c r="E29" s="7">
        <f>IF(AND(YEAR(MarSun1+30)=TheYear,MONTH(MarSun1+30)=3),MarSun1+30, "")</f>
        <v>42822</v>
      </c>
      <c r="F29" s="7">
        <f>IF(AND(YEAR(MarSun1+31)=TheYear,MONTH(MarSun1+31)=3),MarSun1+31, "")</f>
        <v>42823</v>
      </c>
      <c r="G29" s="7">
        <f>IF(AND(YEAR(MarSun1+32)=TheYear,MONTH(MarSun1+32)=3),MarSun1+32, "")</f>
        <v>42824</v>
      </c>
      <c r="H29" s="7">
        <f>IF(AND(YEAR(MarSun1+33)=TheYear,MONTH(MarSun1+33)=3),MarSun1+33, "")</f>
        <v>42825</v>
      </c>
      <c r="I29" s="7" t="str">
        <f>IF(AND(YEAR(MarSun1+34)=TheYear,MONTH(MarSun1+34)=3),MarSun1+34, "")</f>
        <v/>
      </c>
      <c r="J29" s="8"/>
      <c r="K29" s="7">
        <f>IF(AND(YEAR(JunSun1+28)=TheYear,MONTH(JunSun1+28)=6),JunSun1+28, "")</f>
        <v>42911</v>
      </c>
      <c r="L29" s="7">
        <f>IF(AND(YEAR(JunSun1+29)=TheYear,MONTH(JunSun1+29)=6),JunSun1+29, "")</f>
        <v>42912</v>
      </c>
      <c r="M29" s="7">
        <f>IF(AND(YEAR(JunSun1+30)=TheYear,MONTH(JunSun1+30)=6),JunSun1+30, "")</f>
        <v>42913</v>
      </c>
      <c r="N29" s="7">
        <f>IF(AND(YEAR(JunSun1+31)=TheYear,MONTH(JunSun1+31)=6),JunSun1+31, "")</f>
        <v>42914</v>
      </c>
      <c r="O29" s="7">
        <f>IF(AND(YEAR(JunSun1+32)=TheYear,MONTH(JunSun1+32)=6),JunSun1+32, "")</f>
        <v>42915</v>
      </c>
      <c r="P29" s="7">
        <f>IF(AND(YEAR(JunSun1+33)=TheYear,MONTH(JunSun1+33)=6),JunSun1+33, "")</f>
        <v>42916</v>
      </c>
      <c r="Q29" s="7" t="str">
        <f>IF(AND(YEAR(JunSun1+34)=TheYear,MONTH(JunSun1+34)=6),JunSun1+34, "")</f>
        <v/>
      </c>
      <c r="R29" s="8"/>
      <c r="S29" s="7" t="str">
        <f>IF(AND(YEAR(SepSun1+28)=TheYear,MONTH(SepSun1+28)=9),SepSun1+28, "")</f>
        <v/>
      </c>
      <c r="T29" s="7" t="str">
        <f>IF(AND(YEAR(SepSun1+29)=TheYear,MONTH(SepSun1+29)=9),SepSun1+29, "")</f>
        <v/>
      </c>
      <c r="U29" s="7" t="str">
        <f>IF(AND(YEAR(SepSun1+30)=TheYear,MONTH(SepSun1+30)=9),SepSun1+30, "")</f>
        <v/>
      </c>
      <c r="V29" s="7" t="str">
        <f>IF(AND(YEAR(SepSun1+31)=TheYear,MONTH(SepSun1+31)=9),SepSun1+31, "")</f>
        <v/>
      </c>
      <c r="W29" s="7" t="str">
        <f>IF(AND(YEAR(SepSun1+32)=TheYear,MONTH(SepSun1+32)=9),SepSun1+32, "")</f>
        <v/>
      </c>
      <c r="X29" s="7" t="str">
        <f>IF(AND(YEAR(SepSun1+33)=TheYear,MONTH(SepSun1+33)=9),SepSun1+33, "")</f>
        <v/>
      </c>
      <c r="Y29" s="7" t="str">
        <f>IF(AND(YEAR(SepSun1+34)=TheYear,MONTH(SepSun1+34)=9),SepSun1+34, "")</f>
        <v/>
      </c>
      <c r="Z29" s="8"/>
      <c r="AA29" s="7">
        <f>IF(AND(YEAR(DecSun1+28)=TheYear,MONTH(DecSun1+28)=12),DecSun1+28, "")</f>
        <v>43093</v>
      </c>
      <c r="AB29" s="7">
        <f>IF(AND(YEAR(DecSun1+29)=TheYear,MONTH(DecSun1+29)=12),DecSun1+29, "")</f>
        <v>43094</v>
      </c>
      <c r="AC29" s="7">
        <f>IF(AND(YEAR(DecSun1+30)=TheYear,MONTH(DecSun1+30)=12),DecSun1+30, "")</f>
        <v>43095</v>
      </c>
      <c r="AD29" s="7">
        <f>IF(AND(YEAR(DecSun1+31)=TheYear,MONTH(DecSun1+31)=12),DecSun1+31, "")</f>
        <v>43096</v>
      </c>
      <c r="AE29" s="7">
        <f>IF(AND(YEAR(DecSun1+32)=TheYear,MONTH(DecSun1+32)=12),DecSun1+32, "")</f>
        <v>43097</v>
      </c>
      <c r="AF29" s="7">
        <f>IF(AND(YEAR(DecSun1+33)=TheYear,MONTH(DecSun1+33)=12),DecSun1+33, "")</f>
        <v>43098</v>
      </c>
      <c r="AG29" s="7">
        <f>IF(AND(YEAR(DecSun1+34)=TheYear,MONTH(DecSun1+34)=12),DecSun1+34, "")</f>
        <v>43099</v>
      </c>
      <c r="AH29" s="6"/>
    </row>
    <row r="30" spans="2:34">
      <c r="B30" s="9"/>
      <c r="C30" s="7" t="str">
        <f>IF(AND(YEAR(MarSun1+35)=TheYear,MONTH(MarSun1+35)=3),MarSun1+35, "")</f>
        <v/>
      </c>
      <c r="D30" s="7" t="str">
        <f>IF(AND(YEAR(MarSun1+36)=TheYear,MONTH(MarSun1+36)=3),MarSun1+36, "")</f>
        <v/>
      </c>
      <c r="E30" s="7" t="str">
        <f>IF(AND(YEAR(MarSun1+37)=TheYear,MONTH(MarSun1+37)=3),MarSun1+37, "")</f>
        <v/>
      </c>
      <c r="F30" s="7" t="str">
        <f>IF(AND(YEAR(MarSun1+38)=TheYear,MONTH(MarSun1+38)=3),MarSun1+38, "")</f>
        <v/>
      </c>
      <c r="G30" s="7" t="str">
        <f>IF(AND(YEAR(MarSun1+39)=TheYear,MONTH(MarSun1+39)=3),MarSun1+39, "")</f>
        <v/>
      </c>
      <c r="H30" s="7" t="str">
        <f>IF(AND(YEAR(MarSun1+40)=TheYear,MONTH(MarSun1+40)=3),MarSun1+40, "")</f>
        <v/>
      </c>
      <c r="I30" s="7" t="str">
        <f>IF(AND(YEAR(MarSun1+41)=TheYear,MONTH(MarSun1+41)=3),MarSun1+41, "")</f>
        <v/>
      </c>
      <c r="J30" s="8"/>
      <c r="K30" s="7" t="str">
        <f>IF(AND(YEAR(JunSun1+35)=TheYear,MONTH(JunSun1+35)=6),JunSun1+35, "")</f>
        <v/>
      </c>
      <c r="L30" s="7" t="str">
        <f>IF(AND(YEAR(JunSun1+36)=TheYear,MONTH(JunSun1+36)=6),JunSun1+36, "")</f>
        <v/>
      </c>
      <c r="M30" s="7" t="str">
        <f>IF(AND(YEAR(JunSun1+37)=TheYear,MONTH(JunSun1+37)=6),JunSun1+37, "")</f>
        <v/>
      </c>
      <c r="N30" s="7" t="str">
        <f>IF(AND(YEAR(JunSun1+38)=TheYear,MONTH(JunSun1+38)=6),JunSun1+38, "")</f>
        <v/>
      </c>
      <c r="O30" s="7" t="str">
        <f>IF(AND(YEAR(JunSun1+39)=TheYear,MONTH(JunSun1+39)=6),JunSun1+39, "")</f>
        <v/>
      </c>
      <c r="P30" s="7" t="str">
        <f>IF(AND(YEAR(JunSun1+40)=TheYear,MONTH(JunSun1+40)=6),JunSun1+40, "")</f>
        <v/>
      </c>
      <c r="Q30" s="7" t="str">
        <f>IF(AND(YEAR(JunSun1+41)=TheYear,MONTH(JunSun1+41)=6),JunSun1+41, "")</f>
        <v/>
      </c>
      <c r="R30" s="8"/>
      <c r="S30" s="7" t="str">
        <f>IF(AND(YEAR(SepSun1+35)=TheYear,MONTH(SepSun1+35)=9),SepSun1+35, "")</f>
        <v/>
      </c>
      <c r="T30" s="7" t="str">
        <f>IF(AND(YEAR(SepSun1+36)=TheYear,MONTH(SepSun1+36)=9),SepSun1+36, "")</f>
        <v/>
      </c>
      <c r="U30" s="7" t="str">
        <f>IF(AND(YEAR(SepSun1+37)=TheYear,MONTH(SepSun1+37)=9),SepSun1+37, "")</f>
        <v/>
      </c>
      <c r="V30" s="7" t="str">
        <f>IF(AND(YEAR(SepSun1+38)=TheYear,MONTH(SepSun1+38)=9),SepSun1+38, "")</f>
        <v/>
      </c>
      <c r="W30" s="7" t="str">
        <f>IF(AND(YEAR(SepSun1+39)=TheYear,MONTH(SepSun1+39)=9),SepSun1+39, "")</f>
        <v/>
      </c>
      <c r="X30" s="7" t="str">
        <f>IF(AND(YEAR(SepSun1+40)=TheYear,MONTH(SepSun1+40)=9),SepSun1+40, "")</f>
        <v/>
      </c>
      <c r="Y30" s="7" t="str">
        <f>IF(AND(YEAR(SepSun1+41)=TheYear,MONTH(SepSun1+41)=9),SepSun1+41, "")</f>
        <v/>
      </c>
      <c r="Z30" s="8"/>
      <c r="AA30" s="7">
        <f>IF(AND(YEAR(DecSun1+35)=TheYear,MONTH(DecSun1+35)=12),DecSun1+35, "")</f>
        <v>43100</v>
      </c>
      <c r="AB30" s="7" t="str">
        <f>IF(AND(YEAR(DecSun1+36)=TheYear,MONTH(DecSun1+36)=12),DecSun1+36, "")</f>
        <v/>
      </c>
      <c r="AC30" s="7" t="str">
        <f>IF(AND(YEAR(DecSun1+37)=TheYear,MONTH(DecSun1+37)=12),DecSun1+37, "")</f>
        <v/>
      </c>
      <c r="AD30" s="7" t="str">
        <f>IF(AND(YEAR(DecSun1+38)=TheYear,MONTH(DecSun1+38)=12),DecSun1+38, "")</f>
        <v/>
      </c>
      <c r="AE30" s="7" t="str">
        <f>IF(AND(YEAR(DecSun1+39)=TheYear,MONTH(DecSun1+39)=12),DecSun1+39, "")</f>
        <v/>
      </c>
      <c r="AF30" s="7" t="str">
        <f>IF(AND(YEAR(DecSun1+40)=TheYear,MONTH(DecSun1+40)=12),DecSun1+40, "")</f>
        <v/>
      </c>
      <c r="AG30" s="7" t="str">
        <f>IF(AND(YEAR(DecSun1+41)=TheYear,MONTH(DecSun1+41)=12),DecSun1+41, "")</f>
        <v/>
      </c>
      <c r="AH30" s="6"/>
    </row>
    <row r="31" spans="2:34" ht="13.5" customHeight="1" thickBot="1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"/>
    </row>
    <row r="32" spans="2:34" ht="16.5" thickTop="1"/>
  </sheetData>
  <mergeCells count="13">
    <mergeCell ref="K14:Q14"/>
    <mergeCell ref="S14:Y14"/>
    <mergeCell ref="AA14:AG14"/>
    <mergeCell ref="C23:I23"/>
    <mergeCell ref="K23:Q23"/>
    <mergeCell ref="S23:Y23"/>
    <mergeCell ref="AA23:AG23"/>
    <mergeCell ref="C14:I14"/>
    <mergeCell ref="B2:AH3"/>
    <mergeCell ref="C5:I5"/>
    <mergeCell ref="K5:Q5"/>
    <mergeCell ref="S5:Y5"/>
    <mergeCell ref="AA5:AG5"/>
  </mergeCells>
  <conditionalFormatting sqref="C5:AG30">
    <cfRule type="containsErrors" dxfId="5" priority="1">
      <formula>ISERROR(C5)</formula>
    </cfRule>
    <cfRule type="containsBlanks" dxfId="4" priority="2">
      <formula>LEN(TRIM(C5))=0</formula>
    </cfRule>
  </conditionalFormatting>
  <dataValidations count="1">
    <dataValidation type="list" allowBlank="1" showInputMessage="1" showErrorMessage="1" errorTitle="Invalid Year" error="Enter a year from 1900 to 9999, or use the scroll bar to find a year." sqref="B2:AH3">
      <formula1>YearLookup</formula1>
    </dataValidation>
  </dataValidations>
  <printOptions horizontalCentered="1" verticalCentere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Herramienta</vt:lpstr>
      <vt:lpstr>Sheet2</vt:lpstr>
      <vt:lpstr>Sheet3</vt:lpstr>
      <vt:lpstr>Calendario</vt:lpstr>
      <vt:lpstr>TheYear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HN19760</cp:lastModifiedBy>
  <dcterms:created xsi:type="dcterms:W3CDTF">2016-04-04T20:31:21Z</dcterms:created>
  <dcterms:modified xsi:type="dcterms:W3CDTF">2017-09-28T20:14:33Z</dcterms:modified>
</cp:coreProperties>
</file>